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5970" windowWidth="17400" windowHeight="6030" tabRatio="931" activeTab="3"/>
  </bookViews>
  <sheets>
    <sheet name="Indicadors" sheetId="14" r:id="rId1"/>
    <sheet name="ICap " sheetId="15" r:id="rId2"/>
    <sheet name="IDetallCorrent" sheetId="43" r:id="rId3"/>
    <sheet name="IDetallCapital" sheetId="44" r:id="rId4"/>
    <sheet name="DCap" sheetId="1" r:id="rId5"/>
    <sheet name="DDetallCorrent" sheetId="45" r:id="rId6"/>
    <sheet name="DProg" sheetId="16" r:id="rId7"/>
    <sheet name="DOrg" sheetId="13" r:id="rId8"/>
    <sheet name="DCap 01" sheetId="20" r:id="rId9"/>
    <sheet name="DCap 02" sheetId="24" r:id="rId10"/>
    <sheet name="DCap 04" sheetId="26" r:id="rId11"/>
    <sheet name="DCap 0501" sheetId="27" r:id="rId12"/>
    <sheet name="DCap 0502" sheetId="25" r:id="rId13"/>
    <sheet name="DCap 0503" sheetId="46" r:id="rId14"/>
    <sheet name="DCap 0504" sheetId="47" r:id="rId15"/>
    <sheet name="DCap 07" sheetId="21" r:id="rId16"/>
    <sheet name="DCap 0703" sheetId="23" r:id="rId17"/>
    <sheet name="DCap 08" sheetId="22" r:id="rId18"/>
    <sheet name="DCap 06" sheetId="28" r:id="rId19"/>
    <sheet name="Full de control" sheetId="42" r:id="rId20"/>
  </sheets>
  <definedNames>
    <definedName name="__FPMExcelClient_CellBasedFunctionStatus" localSheetId="4" hidden="1">"2_2_2_2_2"</definedName>
    <definedName name="__FPMExcelClient_CellBasedFunctionStatus" localSheetId="8" hidden="1">"2_2_2_2_2"</definedName>
    <definedName name="__FPMExcelClient_CellBasedFunctionStatus" localSheetId="9" hidden="1">"2_2_2_2_2"</definedName>
    <definedName name="__FPMExcelClient_CellBasedFunctionStatus" localSheetId="10" hidden="1">"2_2_2_2_2"</definedName>
    <definedName name="__FPMExcelClient_CellBasedFunctionStatus" localSheetId="11" hidden="1">"2_2_2_2_2"</definedName>
    <definedName name="__FPMExcelClient_CellBasedFunctionStatus" localSheetId="12" hidden="1">"2_2_2_2_2"</definedName>
    <definedName name="__FPMExcelClient_CellBasedFunctionStatus" localSheetId="13" hidden="1">"2_2_2_2_2"</definedName>
    <definedName name="__FPMExcelClient_CellBasedFunctionStatus" localSheetId="14" hidden="1">"2_2_2_2_2"</definedName>
    <definedName name="__FPMExcelClient_CellBasedFunctionStatus" localSheetId="18" hidden="1">"2_2_2_2_2"</definedName>
    <definedName name="__FPMExcelClient_CellBasedFunctionStatus" localSheetId="15" hidden="1">"2_2_2_2_2"</definedName>
    <definedName name="__FPMExcelClient_CellBasedFunctionStatus" localSheetId="16" hidden="1">"2_2_2_2_2"</definedName>
    <definedName name="__FPMExcelClient_CellBasedFunctionStatus" localSheetId="17" hidden="1">"2_2_2_2_2"</definedName>
    <definedName name="__FPMExcelClient_CellBasedFunctionStatus" localSheetId="5" hidden="1">"2_2_2_2_2"</definedName>
    <definedName name="__FPMExcelClient_CellBasedFunctionStatus" localSheetId="7" hidden="1">"2_2_2_2_2"</definedName>
    <definedName name="__FPMExcelClient_CellBasedFunctionStatus" localSheetId="6" hidden="1">"2_2_2_2_2"</definedName>
    <definedName name="__FPMExcelClient_CellBasedFunctionStatus" localSheetId="19" hidden="1">"2_2_2_2_2"</definedName>
    <definedName name="__FPMExcelClient_CellBasedFunctionStatus" localSheetId="1" hidden="1">"2_2_2_2_2"</definedName>
    <definedName name="__FPMExcelClient_CellBasedFunctionStatus" localSheetId="3" hidden="1">"2_2_2_2_2"</definedName>
    <definedName name="__FPMExcelClient_CellBasedFunctionStatus" localSheetId="2" hidden="1">"2_2_2_2_2"</definedName>
    <definedName name="__FPMExcelClient_CellBasedFunctionStatus" localSheetId="0" hidden="1">"2_2_2_2_2"</definedName>
    <definedName name="_xlnm.Print_Area" localSheetId="5">DDetallCorrent!$A$1:$M$129</definedName>
    <definedName name="_xlnm.Print_Area" localSheetId="7">DOrg!$A$1:$M$56</definedName>
    <definedName name="_xlnm.Print_Area" localSheetId="6">DProg!$A$1:$M$155</definedName>
    <definedName name="_xlnm.Print_Area" localSheetId="3">IDetallCapital!$A$1:$K$32</definedName>
    <definedName name="_xlnm.Print_Area" localSheetId="2">IDetallCorrent!$A$1:$K$67</definedName>
    <definedName name="_xlnm.Print_Area" localSheetId="0">Indicadors!$A$1:$J$37</definedName>
    <definedName name="DATA1" localSheetId="14">#REF!</definedName>
    <definedName name="DATA1" localSheetId="5">#REF!</definedName>
    <definedName name="DATA1" localSheetId="3">#REF!</definedName>
    <definedName name="DATA1" localSheetId="2">#REF!</definedName>
    <definedName name="DATA1">#REF!</definedName>
    <definedName name="DATA10" localSheetId="14">#REF!</definedName>
    <definedName name="DATA10" localSheetId="5">#REF!</definedName>
    <definedName name="DATA10" localSheetId="3">#REF!</definedName>
    <definedName name="DATA10" localSheetId="2">#REF!</definedName>
    <definedName name="DATA10">#REF!</definedName>
    <definedName name="DATA11" localSheetId="14">#REF!</definedName>
    <definedName name="DATA11" localSheetId="5">#REF!</definedName>
    <definedName name="DATA11" localSheetId="3">#REF!</definedName>
    <definedName name="DATA11" localSheetId="2">#REF!</definedName>
    <definedName name="DATA11">#REF!</definedName>
    <definedName name="DATA12" localSheetId="14">#REF!</definedName>
    <definedName name="DATA12" localSheetId="5">#REF!</definedName>
    <definedName name="DATA12" localSheetId="3">#REF!</definedName>
    <definedName name="DATA12" localSheetId="2">#REF!</definedName>
    <definedName name="DATA12">#REF!</definedName>
    <definedName name="DATA13" localSheetId="14">#REF!</definedName>
    <definedName name="DATA13" localSheetId="5">#REF!</definedName>
    <definedName name="DATA13" localSheetId="3">#REF!</definedName>
    <definedName name="DATA13" localSheetId="2">#REF!</definedName>
    <definedName name="DATA13">#REF!</definedName>
    <definedName name="DATA14" localSheetId="14">#REF!</definedName>
    <definedName name="DATA14" localSheetId="5">#REF!</definedName>
    <definedName name="DATA14" localSheetId="3">#REF!</definedName>
    <definedName name="DATA14" localSheetId="2">#REF!</definedName>
    <definedName name="DATA14">#REF!</definedName>
    <definedName name="DATA2" localSheetId="14">#REF!</definedName>
    <definedName name="DATA2" localSheetId="5">#REF!</definedName>
    <definedName name="DATA2" localSheetId="3">#REF!</definedName>
    <definedName name="DATA2" localSheetId="2">#REF!</definedName>
    <definedName name="DATA2">#REF!</definedName>
    <definedName name="DATA3" localSheetId="14">#REF!</definedName>
    <definedName name="DATA3" localSheetId="5">#REF!</definedName>
    <definedName name="DATA3" localSheetId="3">#REF!</definedName>
    <definedName name="DATA3" localSheetId="2">#REF!</definedName>
    <definedName name="DATA3">#REF!</definedName>
    <definedName name="DATA4" localSheetId="14">#REF!</definedName>
    <definedName name="DATA4" localSheetId="5">#REF!</definedName>
    <definedName name="DATA4" localSheetId="3">#REF!</definedName>
    <definedName name="DATA4" localSheetId="2">#REF!</definedName>
    <definedName name="DATA4">#REF!</definedName>
    <definedName name="DATA5" localSheetId="14">#REF!</definedName>
    <definedName name="DATA5" localSheetId="5">#REF!</definedName>
    <definedName name="DATA5" localSheetId="3">#REF!</definedName>
    <definedName name="DATA5" localSheetId="2">#REF!</definedName>
    <definedName name="DATA5">#REF!</definedName>
    <definedName name="DATA6" localSheetId="14">#REF!</definedName>
    <definedName name="DATA6" localSheetId="5">#REF!</definedName>
    <definedName name="DATA6" localSheetId="3">#REF!</definedName>
    <definedName name="DATA6" localSheetId="2">#REF!</definedName>
    <definedName name="DATA6">#REF!</definedName>
    <definedName name="DATA7" localSheetId="14">#REF!</definedName>
    <definedName name="DATA7" localSheetId="5">#REF!</definedName>
    <definedName name="DATA7" localSheetId="3">#REF!</definedName>
    <definedName name="DATA7" localSheetId="2">#REF!</definedName>
    <definedName name="DATA7">#REF!</definedName>
    <definedName name="DATA8" localSheetId="14">#REF!</definedName>
    <definedName name="DATA8" localSheetId="5">#REF!</definedName>
    <definedName name="DATA8" localSheetId="3">#REF!</definedName>
    <definedName name="DATA8" localSheetId="2">#REF!</definedName>
    <definedName name="DATA8">#REF!</definedName>
    <definedName name="DATA9" localSheetId="14">#REF!</definedName>
    <definedName name="DATA9" localSheetId="5">#REF!</definedName>
    <definedName name="DATA9" localSheetId="3">#REF!</definedName>
    <definedName name="DATA9" localSheetId="2">#REF!</definedName>
    <definedName name="DATA9">#REF!</definedName>
    <definedName name="Print_Area" localSheetId="4">DCap!$A$1:$P$34</definedName>
    <definedName name="Print_Area" localSheetId="13">'DCap 0503'!$A$1:$M$16</definedName>
    <definedName name="Print_Area" localSheetId="14">'DCap 0504'!$A$1:$M$16</definedName>
    <definedName name="Print_Area" localSheetId="5">DDetallCorrent!$A$1:$M$129</definedName>
    <definedName name="Print_Area" localSheetId="6">DProg!$A$1:$M$154</definedName>
    <definedName name="Print_Area" localSheetId="1">'ICap '!$A$1:$N$19</definedName>
    <definedName name="Print_Area" localSheetId="3">IDetallCapital!$A$1:$K$32</definedName>
    <definedName name="Print_Area" localSheetId="2">IDetallCorrent!$A$1:$K$67</definedName>
    <definedName name="Print_Area" localSheetId="0">Indicadors!$A$1:$J$36</definedName>
    <definedName name="TEST0" localSheetId="14">#REF!</definedName>
    <definedName name="TEST0" localSheetId="5">#REF!</definedName>
    <definedName name="TEST0" localSheetId="3">#REF!</definedName>
    <definedName name="TEST0" localSheetId="2">#REF!</definedName>
    <definedName name="TEST0">#REF!</definedName>
    <definedName name="TESTHKEY" localSheetId="14">#REF!</definedName>
    <definedName name="TESTHKEY" localSheetId="5">#REF!</definedName>
    <definedName name="TESTHKEY" localSheetId="3">#REF!</definedName>
    <definedName name="TESTHKEY" localSheetId="2">#REF!</definedName>
    <definedName name="TESTHKEY">#REF!</definedName>
    <definedName name="TESTKEYS" localSheetId="14">#REF!</definedName>
    <definedName name="TESTKEYS" localSheetId="5">#REF!</definedName>
    <definedName name="TESTKEYS" localSheetId="3">#REF!</definedName>
    <definedName name="TESTKEYS" localSheetId="2">#REF!</definedName>
    <definedName name="TESTKEYS">#REF!</definedName>
    <definedName name="TESTVKEY" localSheetId="14">#REF!</definedName>
    <definedName name="TESTVKEY" localSheetId="5">#REF!</definedName>
    <definedName name="TESTVKEY" localSheetId="3">#REF!</definedName>
    <definedName name="TESTVKEY" localSheetId="2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K17" i="44" l="1"/>
  <c r="K16" i="44"/>
  <c r="H17" i="44"/>
  <c r="N12" i="15"/>
  <c r="N13" i="15"/>
  <c r="M13" i="24" l="1"/>
  <c r="M11" i="24"/>
  <c r="J5" i="26"/>
  <c r="J6" i="26"/>
  <c r="J8" i="26"/>
  <c r="J10" i="26"/>
  <c r="M8" i="26"/>
  <c r="M8" i="27"/>
  <c r="M10" i="27"/>
  <c r="M12" i="27"/>
  <c r="M6" i="25"/>
  <c r="M6" i="46"/>
  <c r="M13" i="23"/>
  <c r="M9" i="47"/>
  <c r="M8" i="47"/>
  <c r="M60" i="45"/>
  <c r="M68" i="45"/>
  <c r="M73" i="45"/>
  <c r="M77" i="45"/>
  <c r="M79" i="45"/>
  <c r="M83" i="45"/>
  <c r="M84" i="45"/>
  <c r="M115" i="45"/>
  <c r="M117" i="45"/>
  <c r="M118" i="45"/>
  <c r="M119" i="45"/>
  <c r="M125" i="45"/>
  <c r="M22" i="45"/>
  <c r="M55" i="45"/>
  <c r="M51" i="45"/>
  <c r="M50" i="45"/>
  <c r="M49" i="45"/>
  <c r="M42" i="45"/>
  <c r="M43" i="45"/>
  <c r="M45" i="45"/>
  <c r="M39" i="45"/>
  <c r="M38" i="45"/>
  <c r="M35" i="45"/>
  <c r="M34" i="45"/>
  <c r="M31" i="45"/>
  <c r="M17" i="45"/>
  <c r="M16" i="45"/>
  <c r="M15" i="45"/>
  <c r="M146" i="16" l="1"/>
  <c r="M128" i="16"/>
  <c r="L122" i="16"/>
  <c r="K122" i="16"/>
  <c r="L115" i="16"/>
  <c r="K115" i="16"/>
  <c r="M113" i="16"/>
  <c r="L107" i="16"/>
  <c r="K107" i="16"/>
  <c r="L93" i="16"/>
  <c r="K93" i="16"/>
  <c r="K76" i="16"/>
  <c r="M36" i="16"/>
  <c r="M51" i="16"/>
  <c r="L45" i="16"/>
  <c r="L38" i="16"/>
  <c r="K38" i="16"/>
  <c r="L30" i="16"/>
  <c r="K30" i="16"/>
  <c r="K27" i="16"/>
  <c r="M26" i="16"/>
  <c r="L16" i="16"/>
  <c r="K16" i="16"/>
  <c r="H109" i="45" l="1"/>
  <c r="H111" i="45"/>
  <c r="H112" i="45"/>
  <c r="H113" i="45"/>
  <c r="H115" i="45"/>
  <c r="H116" i="45"/>
  <c r="H117" i="45"/>
  <c r="H118" i="45"/>
  <c r="H119" i="45"/>
  <c r="H120" i="45"/>
  <c r="H121" i="45"/>
  <c r="H122" i="45"/>
  <c r="J111" i="45"/>
  <c r="J113" i="45"/>
  <c r="J115" i="45"/>
  <c r="J116" i="45"/>
  <c r="J118" i="45"/>
  <c r="J119" i="45"/>
  <c r="J120" i="45"/>
  <c r="J122" i="45"/>
  <c r="H100" i="45"/>
  <c r="F100" i="45"/>
  <c r="F40" i="45"/>
  <c r="H6" i="44"/>
  <c r="H55" i="43"/>
  <c r="H62" i="43" l="1"/>
  <c r="H57" i="43"/>
  <c r="H11" i="43"/>
  <c r="H6" i="43"/>
  <c r="H7" i="43"/>
  <c r="H8" i="43"/>
  <c r="H10" i="43"/>
  <c r="H5" i="43"/>
  <c r="H19" i="43"/>
  <c r="H20" i="43"/>
  <c r="H21" i="43"/>
  <c r="H22" i="43"/>
  <c r="H23" i="43"/>
  <c r="H24" i="43"/>
  <c r="H25" i="43"/>
  <c r="H26" i="43"/>
  <c r="H18" i="43"/>
  <c r="H31" i="43"/>
  <c r="H32" i="43"/>
  <c r="H33" i="43"/>
  <c r="K152" i="16" l="1"/>
  <c r="I37" i="43" l="1"/>
  <c r="J8" i="24" l="1"/>
  <c r="H8" i="24"/>
  <c r="J51" i="16"/>
  <c r="J48" i="16"/>
  <c r="J40" i="16"/>
  <c r="J41" i="16"/>
  <c r="J42" i="16"/>
  <c r="F39" i="45"/>
  <c r="F63" i="43" l="1"/>
  <c r="K11" i="15"/>
  <c r="K9" i="26"/>
  <c r="M111" i="45" l="1"/>
  <c r="C9" i="25" l="1"/>
  <c r="I9" i="20"/>
  <c r="G9" i="46"/>
  <c r="G10" i="24"/>
  <c r="E10" i="24"/>
  <c r="D10" i="24"/>
  <c r="C10" i="24"/>
  <c r="C83" i="16"/>
  <c r="D83" i="16"/>
  <c r="E83" i="16"/>
  <c r="M142" i="16" l="1"/>
  <c r="M46" i="16"/>
  <c r="M92" i="16" l="1"/>
  <c r="M42" i="16"/>
  <c r="M35" i="16"/>
  <c r="M17" i="16"/>
  <c r="M15" i="16"/>
  <c r="M12" i="16"/>
  <c r="E15" i="13"/>
  <c r="G13" i="1"/>
  <c r="G10" i="1"/>
  <c r="F116" i="16"/>
  <c r="J116" i="16"/>
  <c r="H116" i="16"/>
  <c r="C130" i="16"/>
  <c r="D130" i="16"/>
  <c r="E130" i="16"/>
  <c r="F125" i="16"/>
  <c r="H125" i="16"/>
  <c r="J125" i="16"/>
  <c r="M119" i="16"/>
  <c r="M112" i="16"/>
  <c r="J119" i="16"/>
  <c r="H119" i="16"/>
  <c r="F119" i="16"/>
  <c r="J112" i="16"/>
  <c r="H112" i="16"/>
  <c r="F112" i="16"/>
  <c r="D104" i="16"/>
  <c r="C104" i="16"/>
  <c r="F92" i="16"/>
  <c r="H92" i="16"/>
  <c r="J92" i="16"/>
  <c r="E104" i="16"/>
  <c r="C152" i="16"/>
  <c r="D111" i="16"/>
  <c r="C111" i="16"/>
  <c r="K104" i="16"/>
  <c r="I104" i="16"/>
  <c r="G104" i="16"/>
  <c r="E75" i="16"/>
  <c r="E61" i="16"/>
  <c r="E53" i="16"/>
  <c r="E34" i="16"/>
  <c r="E27" i="16"/>
  <c r="E6" i="16"/>
  <c r="K75" i="16"/>
  <c r="I75" i="16"/>
  <c r="G75" i="16"/>
  <c r="D75" i="16"/>
  <c r="D61" i="16"/>
  <c r="K53" i="16"/>
  <c r="I53" i="16"/>
  <c r="G53" i="16"/>
  <c r="D53" i="16"/>
  <c r="I34" i="16"/>
  <c r="G34" i="16"/>
  <c r="D34" i="16"/>
  <c r="I27" i="16"/>
  <c r="G27" i="16"/>
  <c r="D27" i="16"/>
  <c r="C34" i="16"/>
  <c r="C53" i="16"/>
  <c r="C61" i="16"/>
  <c r="C75" i="16"/>
  <c r="C27" i="16"/>
  <c r="J17" i="16"/>
  <c r="H17" i="16"/>
  <c r="F17" i="16"/>
  <c r="F51" i="16"/>
  <c r="F48" i="16"/>
  <c r="H51" i="16"/>
  <c r="H48" i="16"/>
  <c r="H40" i="16"/>
  <c r="H41" i="16"/>
  <c r="H42" i="16"/>
  <c r="F40" i="16"/>
  <c r="F41" i="16"/>
  <c r="F42" i="16"/>
  <c r="M74" i="16"/>
  <c r="J74" i="16"/>
  <c r="H74" i="16"/>
  <c r="F74" i="16"/>
  <c r="F117" i="16"/>
  <c r="H117" i="16"/>
  <c r="J117" i="16"/>
  <c r="F118" i="16"/>
  <c r="H118" i="16"/>
  <c r="J118" i="16"/>
  <c r="J89" i="16"/>
  <c r="M89" i="16"/>
  <c r="J87" i="16"/>
  <c r="H89" i="16"/>
  <c r="H87" i="16"/>
  <c r="F89" i="16"/>
  <c r="F87" i="16"/>
  <c r="J102" i="16"/>
  <c r="H102" i="16"/>
  <c r="F102" i="16"/>
  <c r="F94" i="16"/>
  <c r="H94" i="16"/>
  <c r="J94" i="16"/>
  <c r="M94" i="16"/>
  <c r="E76" i="16" l="1"/>
  <c r="J35" i="16"/>
  <c r="H35" i="16"/>
  <c r="F35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7" i="16" l="1"/>
  <c r="H57" i="16"/>
  <c r="J57" i="16"/>
  <c r="M57" i="16"/>
  <c r="F46" i="16"/>
  <c r="H46" i="16"/>
  <c r="J46" i="16"/>
  <c r="F39" i="16"/>
  <c r="H39" i="16"/>
  <c r="J39" i="16"/>
  <c r="F43" i="16"/>
  <c r="H43" i="16"/>
  <c r="J43" i="16"/>
  <c r="M43" i="16"/>
  <c r="F37" i="16"/>
  <c r="H37" i="16"/>
  <c r="J37" i="16"/>
  <c r="M37" i="16"/>
  <c r="H53" i="16" l="1"/>
  <c r="J53" i="16"/>
  <c r="F53" i="16"/>
  <c r="M53" i="16"/>
  <c r="F111" i="45" l="1"/>
  <c r="J22" i="45" l="1"/>
  <c r="D27" i="1"/>
  <c r="C27" i="1"/>
  <c r="H12" i="43" l="1"/>
  <c r="G7" i="14" l="1"/>
  <c r="G10" i="14" s="1"/>
  <c r="G13" i="14" s="1"/>
  <c r="F7" i="14"/>
  <c r="F10" i="14" s="1"/>
  <c r="F13" i="14" s="1"/>
  <c r="E7" i="14"/>
  <c r="E10" i="14" s="1"/>
  <c r="E13" i="14" s="1"/>
  <c r="D7" i="14"/>
  <c r="D10" i="14" s="1"/>
  <c r="D13" i="14" s="1"/>
  <c r="C7" i="14"/>
  <c r="C10" i="14" s="1"/>
  <c r="C13" i="14" s="1"/>
  <c r="J96" i="45" l="1"/>
  <c r="H96" i="45"/>
  <c r="F96" i="45"/>
  <c r="E10" i="15" l="1"/>
  <c r="E13" i="15"/>
  <c r="G9" i="20" l="1"/>
  <c r="P22" i="1" l="1"/>
  <c r="P23" i="1"/>
  <c r="P24" i="1"/>
  <c r="P25" i="1"/>
  <c r="P26" i="1"/>
  <c r="M5" i="47" l="1"/>
  <c r="M40" i="13"/>
  <c r="M11" i="13"/>
  <c r="M120" i="16"/>
  <c r="M121" i="16"/>
  <c r="M123" i="16"/>
  <c r="M126" i="16"/>
  <c r="M127" i="16"/>
  <c r="M44" i="16"/>
  <c r="M49" i="16"/>
  <c r="M50" i="16"/>
  <c r="M20" i="16"/>
  <c r="M22" i="16"/>
  <c r="M24" i="16"/>
  <c r="M116" i="45"/>
  <c r="K56" i="43" l="1"/>
  <c r="H58" i="43" l="1"/>
  <c r="H51" i="43"/>
  <c r="H42" i="43"/>
  <c r="M113" i="45" l="1"/>
  <c r="J104" i="45"/>
  <c r="J106" i="45"/>
  <c r="J107" i="45"/>
  <c r="J108" i="45"/>
  <c r="J109" i="45"/>
  <c r="F8" i="47" l="1"/>
  <c r="J8" i="47"/>
  <c r="I27" i="1" l="1"/>
  <c r="E27" i="1"/>
  <c r="G27" i="1"/>
  <c r="J5" i="20" l="1"/>
  <c r="J6" i="20"/>
  <c r="J8" i="20"/>
  <c r="J10" i="20"/>
  <c r="J11" i="20"/>
  <c r="M10" i="28" l="1"/>
  <c r="M11" i="22"/>
  <c r="J10" i="21"/>
  <c r="H10" i="21"/>
  <c r="F10" i="21"/>
  <c r="F11" i="20"/>
  <c r="H11" i="20"/>
  <c r="H10" i="20"/>
  <c r="J39" i="45"/>
  <c r="J40" i="45"/>
  <c r="H39" i="45"/>
  <c r="H40" i="45"/>
  <c r="J47" i="45"/>
  <c r="H47" i="45"/>
  <c r="F47" i="45"/>
  <c r="M71" i="45" l="1"/>
  <c r="M52" i="45"/>
  <c r="M41" i="45"/>
  <c r="M32" i="45"/>
  <c r="M33" i="45"/>
  <c r="M27" i="45"/>
  <c r="M28" i="45"/>
  <c r="M23" i="45"/>
  <c r="M21" i="45"/>
  <c r="M121" i="45"/>
  <c r="P12" i="1"/>
  <c r="K15" i="28" l="1"/>
  <c r="K12" i="28"/>
  <c r="K9" i="28"/>
  <c r="K15" i="22"/>
  <c r="K12" i="22"/>
  <c r="K9" i="22"/>
  <c r="K16" i="23"/>
  <c r="K13" i="23"/>
  <c r="K10" i="23"/>
  <c r="K15" i="21"/>
  <c r="K12" i="21"/>
  <c r="K9" i="21"/>
  <c r="K9" i="46"/>
  <c r="K15" i="25"/>
  <c r="K12" i="25"/>
  <c r="K9" i="25"/>
  <c r="K15" i="27"/>
  <c r="K12" i="27"/>
  <c r="K9" i="27"/>
  <c r="K16" i="24"/>
  <c r="K13" i="24"/>
  <c r="K10" i="24"/>
  <c r="K15" i="20"/>
  <c r="K9" i="20"/>
  <c r="K127" i="45"/>
  <c r="K61" i="45"/>
  <c r="K57" i="45"/>
  <c r="K11" i="45"/>
  <c r="K16" i="21" l="1"/>
  <c r="K16" i="28"/>
  <c r="K16" i="22"/>
  <c r="K16" i="25"/>
  <c r="K16" i="26"/>
  <c r="K17" i="24"/>
  <c r="K16" i="20"/>
  <c r="K128" i="45"/>
  <c r="K129" i="45" s="1"/>
  <c r="K17" i="23"/>
  <c r="K16" i="46"/>
  <c r="K16" i="27"/>
  <c r="M131" i="16"/>
  <c r="M54" i="16"/>
  <c r="M32" i="16"/>
  <c r="M39" i="13" l="1"/>
  <c r="M10" i="13"/>
  <c r="H8" i="1" l="1"/>
  <c r="M5" i="46" l="1"/>
  <c r="M137" i="16"/>
  <c r="K6" i="16"/>
  <c r="K34" i="16"/>
  <c r="K61" i="16"/>
  <c r="N16" i="1"/>
  <c r="I12" i="14" s="1"/>
  <c r="N13" i="1"/>
  <c r="I9" i="14" s="1"/>
  <c r="N10" i="1"/>
  <c r="I6" i="14" s="1"/>
  <c r="I31" i="44"/>
  <c r="I16" i="44"/>
  <c r="I8" i="44"/>
  <c r="I66" i="43"/>
  <c r="I59" i="43"/>
  <c r="I14" i="43"/>
  <c r="I11" i="43"/>
  <c r="I67" i="43" l="1"/>
  <c r="N17" i="1"/>
  <c r="I17" i="44"/>
  <c r="J9" i="23"/>
  <c r="H9" i="23"/>
  <c r="F9" i="23"/>
  <c r="G10" i="23"/>
  <c r="I10" i="23"/>
  <c r="D10" i="23"/>
  <c r="E10" i="23"/>
  <c r="C10" i="23"/>
  <c r="I10" i="24"/>
  <c r="E10" i="1"/>
  <c r="C44" i="13"/>
  <c r="C55" i="13"/>
  <c r="H136" i="16"/>
  <c r="J136" i="16"/>
  <c r="F136" i="16"/>
  <c r="M109" i="16"/>
  <c r="J110" i="16"/>
  <c r="H110" i="16"/>
  <c r="F110" i="16"/>
  <c r="E127" i="45"/>
  <c r="D127" i="45"/>
  <c r="C127" i="45"/>
  <c r="I127" i="45"/>
  <c r="G127" i="45"/>
  <c r="C10" i="1"/>
  <c r="J33" i="16"/>
  <c r="H33" i="16"/>
  <c r="F33" i="16"/>
  <c r="C56" i="13" l="1"/>
  <c r="I10" i="1" l="1"/>
  <c r="I6" i="15" l="1"/>
  <c r="I7" i="15"/>
  <c r="I8" i="15"/>
  <c r="I9" i="15"/>
  <c r="I5" i="15"/>
  <c r="K6" i="15"/>
  <c r="K7" i="15"/>
  <c r="K8" i="15"/>
  <c r="K9" i="15"/>
  <c r="K5" i="15"/>
  <c r="C16" i="15" l="1"/>
  <c r="C13" i="15"/>
  <c r="C10" i="15"/>
  <c r="K15" i="13"/>
  <c r="M14" i="13" s="1"/>
  <c r="C18" i="15" l="1"/>
  <c r="D12" i="15" l="1"/>
  <c r="D14" i="15"/>
  <c r="D16" i="15"/>
  <c r="D6" i="15"/>
  <c r="D8" i="15"/>
  <c r="D5" i="15"/>
  <c r="D11" i="15"/>
  <c r="D13" i="15"/>
  <c r="D15" i="15"/>
  <c r="D7" i="15"/>
  <c r="D9" i="15"/>
  <c r="D10" i="15"/>
  <c r="M147" i="16" l="1"/>
  <c r="M60" i="16" l="1"/>
  <c r="F5" i="27" l="1"/>
  <c r="P5" i="1" l="1"/>
  <c r="F73" i="45" l="1"/>
  <c r="F74" i="45"/>
  <c r="F16" i="45"/>
  <c r="G16" i="1"/>
  <c r="G30" i="1"/>
  <c r="G33" i="1"/>
  <c r="G34" i="1" l="1"/>
  <c r="G31" i="44"/>
  <c r="E31" i="44"/>
  <c r="G16" i="44" l="1"/>
  <c r="G8" i="44"/>
  <c r="F5" i="43"/>
  <c r="D11" i="43"/>
  <c r="D14" i="43"/>
  <c r="G17" i="44" l="1"/>
  <c r="P31" i="1" l="1"/>
  <c r="P32" i="1"/>
  <c r="J8" i="46" l="1"/>
  <c r="H8" i="46"/>
  <c r="F8" i="46"/>
  <c r="J59" i="16"/>
  <c r="H59" i="16"/>
  <c r="F59" i="16"/>
  <c r="P14" i="1"/>
  <c r="M13" i="16" l="1"/>
  <c r="M5" i="25" l="1"/>
  <c r="M14" i="23" l="1"/>
  <c r="M8" i="25"/>
  <c r="K5" i="43"/>
  <c r="D98" i="45" l="1"/>
  <c r="D66" i="43"/>
  <c r="E66" i="43"/>
  <c r="E14" i="43"/>
  <c r="E37" i="43"/>
  <c r="H29" i="43"/>
  <c r="E11" i="43"/>
  <c r="D128" i="45" l="1"/>
  <c r="D59" i="43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0" i="13"/>
  <c r="H40" i="13"/>
  <c r="F40" i="13"/>
  <c r="J1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K9" i="47"/>
  <c r="I9" i="47"/>
  <c r="G9" i="47"/>
  <c r="E9" i="47"/>
  <c r="D9" i="47"/>
  <c r="C9" i="47"/>
  <c r="F12" i="47" l="1"/>
  <c r="J12" i="47"/>
  <c r="H12" i="47"/>
  <c r="K16" i="47"/>
  <c r="G16" i="47"/>
  <c r="E16" i="47"/>
  <c r="I16" i="47"/>
  <c r="C16" i="47"/>
  <c r="J9" i="47"/>
  <c r="D16" i="47"/>
  <c r="F9" i="47"/>
  <c r="H9" i="47"/>
  <c r="H36" i="13"/>
  <c r="F16" i="47" l="1"/>
  <c r="J16" i="47"/>
  <c r="H16" i="47"/>
  <c r="F13" i="44" l="1"/>
  <c r="M78" i="45" l="1"/>
  <c r="H35" i="13" l="1"/>
  <c r="H32" i="45" l="1"/>
  <c r="I12" i="15" l="1"/>
  <c r="L33" i="1" l="1"/>
  <c r="L30" i="1"/>
  <c r="L27" i="1"/>
  <c r="L34" i="1" l="1"/>
  <c r="G83" i="16" l="1"/>
  <c r="G6" i="16"/>
  <c r="M72" i="45" l="1"/>
  <c r="H8" i="28" l="1"/>
  <c r="M97" i="16" l="1"/>
  <c r="M15" i="23" l="1"/>
  <c r="M6" i="21"/>
  <c r="M6" i="24"/>
  <c r="M38" i="13"/>
  <c r="M9" i="13"/>
  <c r="K24" i="43"/>
  <c r="J11" i="24" l="1"/>
  <c r="J11" i="27"/>
  <c r="H11" i="27"/>
  <c r="F11" i="27"/>
  <c r="H11" i="24" l="1"/>
  <c r="F11" i="24"/>
  <c r="P15" i="1" l="1"/>
  <c r="M96" i="16" l="1"/>
  <c r="M99" i="16"/>
  <c r="M101" i="16"/>
  <c r="M103" i="16"/>
  <c r="J39" i="13" l="1"/>
  <c r="H39" i="13"/>
  <c r="F39" i="13"/>
  <c r="M8" i="13"/>
  <c r="M12" i="13"/>
  <c r="M13" i="13"/>
  <c r="M7" i="13"/>
  <c r="J10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M16" i="46" s="1"/>
  <c r="J9" i="46"/>
  <c r="H16" i="46" l="1"/>
  <c r="F16" i="46"/>
  <c r="J16" i="46"/>
  <c r="K10" i="43" l="1"/>
  <c r="K8" i="43"/>
  <c r="I152" i="16" l="1"/>
  <c r="G152" i="16"/>
  <c r="E152" i="16"/>
  <c r="D152" i="16"/>
  <c r="M151" i="16"/>
  <c r="J151" i="16"/>
  <c r="H151" i="16"/>
  <c r="F151" i="16"/>
  <c r="M150" i="16"/>
  <c r="J150" i="16"/>
  <c r="H150" i="16"/>
  <c r="F150" i="16"/>
  <c r="M149" i="16"/>
  <c r="J149" i="16"/>
  <c r="H149" i="16"/>
  <c r="F149" i="16"/>
  <c r="M148" i="16"/>
  <c r="J148" i="16"/>
  <c r="H148" i="16"/>
  <c r="F148" i="16"/>
  <c r="J147" i="16"/>
  <c r="H147" i="16"/>
  <c r="F147" i="16"/>
  <c r="J146" i="16"/>
  <c r="H146" i="16"/>
  <c r="F146" i="16"/>
  <c r="M145" i="16"/>
  <c r="J145" i="16"/>
  <c r="H145" i="16"/>
  <c r="F145" i="16"/>
  <c r="M144" i="16"/>
  <c r="J144" i="16"/>
  <c r="H144" i="16"/>
  <c r="F144" i="16"/>
  <c r="M143" i="16"/>
  <c r="J143" i="16"/>
  <c r="H143" i="16"/>
  <c r="F143" i="16"/>
  <c r="J142" i="16"/>
  <c r="H142" i="16"/>
  <c r="F142" i="16"/>
  <c r="M141" i="16"/>
  <c r="J141" i="16"/>
  <c r="H141" i="16"/>
  <c r="F141" i="16"/>
  <c r="M140" i="16"/>
  <c r="J140" i="16"/>
  <c r="H140" i="16"/>
  <c r="F140" i="16"/>
  <c r="M139" i="16"/>
  <c r="J139" i="16"/>
  <c r="H139" i="16"/>
  <c r="F139" i="16"/>
  <c r="K138" i="16"/>
  <c r="I138" i="16"/>
  <c r="G138" i="16"/>
  <c r="E138" i="16"/>
  <c r="D138" i="16"/>
  <c r="J137" i="16"/>
  <c r="H137" i="16"/>
  <c r="F137" i="16"/>
  <c r="M135" i="16"/>
  <c r="J135" i="16"/>
  <c r="H135" i="16"/>
  <c r="F135" i="16"/>
  <c r="M134" i="16"/>
  <c r="J134" i="16"/>
  <c r="H134" i="16"/>
  <c r="F134" i="16"/>
  <c r="M133" i="16"/>
  <c r="J133" i="16"/>
  <c r="H133" i="16"/>
  <c r="F133" i="16"/>
  <c r="M132" i="16"/>
  <c r="J132" i="16"/>
  <c r="H132" i="16"/>
  <c r="F132" i="16"/>
  <c r="J131" i="16"/>
  <c r="H131" i="16"/>
  <c r="F131" i="16"/>
  <c r="C138" i="16"/>
  <c r="K130" i="16"/>
  <c r="I130" i="16"/>
  <c r="G130" i="16"/>
  <c r="J129" i="16"/>
  <c r="H129" i="16"/>
  <c r="F129" i="16"/>
  <c r="J128" i="16"/>
  <c r="H128" i="16"/>
  <c r="F128" i="16"/>
  <c r="J127" i="16"/>
  <c r="H127" i="16"/>
  <c r="F127" i="16"/>
  <c r="J126" i="16"/>
  <c r="H126" i="16"/>
  <c r="F126" i="16"/>
  <c r="J124" i="16"/>
  <c r="H124" i="16"/>
  <c r="F124" i="16"/>
  <c r="J123" i="16"/>
  <c r="H123" i="16"/>
  <c r="F123" i="16"/>
  <c r="J122" i="16"/>
  <c r="H122" i="16"/>
  <c r="F122" i="16"/>
  <c r="J121" i="16"/>
  <c r="H121" i="16"/>
  <c r="F121" i="16"/>
  <c r="J120" i="16"/>
  <c r="H120" i="16"/>
  <c r="F120" i="16"/>
  <c r="J115" i="16"/>
  <c r="H115" i="16"/>
  <c r="F115" i="16"/>
  <c r="M114" i="16"/>
  <c r="J114" i="16"/>
  <c r="H114" i="16"/>
  <c r="F114" i="16"/>
  <c r="J113" i="16"/>
  <c r="H113" i="16"/>
  <c r="F113" i="16"/>
  <c r="K111" i="16"/>
  <c r="I111" i="16"/>
  <c r="G111" i="16"/>
  <c r="E111" i="16"/>
  <c r="J109" i="16"/>
  <c r="H109" i="16"/>
  <c r="F109" i="16"/>
  <c r="M108" i="16"/>
  <c r="J108" i="16"/>
  <c r="H108" i="16"/>
  <c r="F108" i="16"/>
  <c r="M107" i="16"/>
  <c r="J107" i="16"/>
  <c r="H107" i="16"/>
  <c r="F107" i="16"/>
  <c r="M106" i="16"/>
  <c r="J106" i="16"/>
  <c r="H106" i="16"/>
  <c r="F106" i="16"/>
  <c r="M105" i="16"/>
  <c r="J105" i="16"/>
  <c r="H105" i="16"/>
  <c r="F105" i="16"/>
  <c r="J103" i="16"/>
  <c r="H103" i="16"/>
  <c r="F103" i="16"/>
  <c r="J101" i="16"/>
  <c r="H101" i="16"/>
  <c r="F101" i="16"/>
  <c r="J100" i="16"/>
  <c r="H100" i="16"/>
  <c r="F100" i="16"/>
  <c r="J99" i="16"/>
  <c r="H99" i="16"/>
  <c r="F99" i="16"/>
  <c r="J98" i="16"/>
  <c r="H98" i="16"/>
  <c r="F98" i="16"/>
  <c r="J97" i="16"/>
  <c r="H97" i="16"/>
  <c r="F97" i="16"/>
  <c r="J96" i="16"/>
  <c r="H96" i="16"/>
  <c r="F96" i="16"/>
  <c r="J95" i="16"/>
  <c r="H95" i="16"/>
  <c r="F95" i="16"/>
  <c r="M93" i="16"/>
  <c r="J93" i="16"/>
  <c r="H93" i="16"/>
  <c r="F93" i="16"/>
  <c r="M91" i="16"/>
  <c r="J91" i="16"/>
  <c r="H91" i="16"/>
  <c r="F91" i="16"/>
  <c r="M90" i="16"/>
  <c r="J90" i="16"/>
  <c r="H90" i="16"/>
  <c r="F90" i="16"/>
  <c r="J88" i="16"/>
  <c r="H88" i="16"/>
  <c r="F88" i="16"/>
  <c r="M86" i="16"/>
  <c r="J86" i="16"/>
  <c r="H86" i="16"/>
  <c r="F86" i="16"/>
  <c r="M85" i="16"/>
  <c r="J85" i="16"/>
  <c r="H85" i="16"/>
  <c r="F85" i="16"/>
  <c r="M84" i="16"/>
  <c r="J84" i="16"/>
  <c r="H84" i="16"/>
  <c r="F84" i="16"/>
  <c r="K83" i="16"/>
  <c r="I83" i="16"/>
  <c r="M82" i="16"/>
  <c r="J82" i="16"/>
  <c r="H82" i="16"/>
  <c r="F82" i="16"/>
  <c r="I61" i="16"/>
  <c r="G61" i="16"/>
  <c r="G76" i="16" s="1"/>
  <c r="J54" i="16"/>
  <c r="H54" i="16"/>
  <c r="F54" i="16"/>
  <c r="J52" i="16"/>
  <c r="H52" i="16"/>
  <c r="F52" i="16"/>
  <c r="J47" i="16"/>
  <c r="H47" i="16"/>
  <c r="F47" i="16"/>
  <c r="J38" i="16"/>
  <c r="H38" i="16"/>
  <c r="F38" i="16"/>
  <c r="J32" i="16"/>
  <c r="H32" i="16"/>
  <c r="F32" i="16"/>
  <c r="K153" i="16" l="1"/>
  <c r="J83" i="16"/>
  <c r="F111" i="16"/>
  <c r="G153" i="16"/>
  <c r="I153" i="16"/>
  <c r="F34" i="16"/>
  <c r="J111" i="16"/>
  <c r="H111" i="16"/>
  <c r="H34" i="16"/>
  <c r="J34" i="16"/>
  <c r="F83" i="16"/>
  <c r="M152" i="16"/>
  <c r="M138" i="16"/>
  <c r="M130" i="16"/>
  <c r="F104" i="16"/>
  <c r="M104" i="16"/>
  <c r="M111" i="16"/>
  <c r="J152" i="16"/>
  <c r="J138" i="16"/>
  <c r="J130" i="16"/>
  <c r="H104" i="16"/>
  <c r="M83" i="16"/>
  <c r="D153" i="16"/>
  <c r="H83" i="16"/>
  <c r="E153" i="16"/>
  <c r="F130" i="16"/>
  <c r="H130" i="16"/>
  <c r="F138" i="16"/>
  <c r="H138" i="16"/>
  <c r="F152" i="16"/>
  <c r="H152" i="16"/>
  <c r="J104" i="16"/>
  <c r="C153" i="16" l="1"/>
  <c r="J5" i="16"/>
  <c r="J7" i="16"/>
  <c r="J8" i="16"/>
  <c r="J9" i="16"/>
  <c r="J13" i="16"/>
  <c r="J14" i="16"/>
  <c r="J16" i="16"/>
  <c r="J18" i="16"/>
  <c r="J19" i="16"/>
  <c r="J20" i="16"/>
  <c r="J49" i="16" l="1"/>
  <c r="H49" i="16"/>
  <c r="F49" i="16"/>
  <c r="L10" i="15"/>
  <c r="I5" i="14" s="1"/>
  <c r="I7" i="14" s="1"/>
  <c r="L13" i="15"/>
  <c r="I8" i="14" s="1"/>
  <c r="L16" i="15"/>
  <c r="I11" i="14" s="1"/>
  <c r="I10" i="14" l="1"/>
  <c r="I13" i="14" s="1"/>
  <c r="L18" i="15"/>
  <c r="F5" i="45" l="1"/>
  <c r="H5" i="45"/>
  <c r="J5" i="45"/>
  <c r="F6" i="45"/>
  <c r="H6" i="45"/>
  <c r="J6" i="45"/>
  <c r="F7" i="45"/>
  <c r="H7" i="45"/>
  <c r="J7" i="45"/>
  <c r="F8" i="45"/>
  <c r="H8" i="45"/>
  <c r="J8" i="45"/>
  <c r="F10" i="45"/>
  <c r="H10" i="45"/>
  <c r="J10" i="45"/>
  <c r="F9" i="45"/>
  <c r="H9" i="45"/>
  <c r="J9" i="45"/>
  <c r="C31" i="44" l="1"/>
  <c r="D31" i="44"/>
  <c r="F31" i="44" l="1"/>
  <c r="M106" i="45"/>
  <c r="H10" i="26" l="1"/>
  <c r="F10" i="26"/>
  <c r="M67" i="45" l="1"/>
  <c r="K47" i="43" l="1"/>
  <c r="K30" i="43"/>
  <c r="C14" i="43" l="1"/>
  <c r="E15" i="21" l="1"/>
  <c r="F51" i="43" l="1"/>
  <c r="M109" i="45" l="1"/>
  <c r="M33" i="1" l="1"/>
  <c r="K33" i="1"/>
  <c r="M30" i="1"/>
  <c r="M27" i="1"/>
  <c r="K27" i="1"/>
  <c r="M34" i="1" l="1"/>
  <c r="M8" i="28" l="1"/>
  <c r="M6" i="28"/>
  <c r="M5" i="28"/>
  <c r="I15" i="28" l="1"/>
  <c r="G15" i="28"/>
  <c r="E15" i="28"/>
  <c r="D15" i="28"/>
  <c r="C15" i="28"/>
  <c r="I12" i="28"/>
  <c r="M12" i="28" s="1"/>
  <c r="G12" i="28"/>
  <c r="E12" i="28"/>
  <c r="D12" i="28"/>
  <c r="C12" i="28"/>
  <c r="J10" i="28"/>
  <c r="H10" i="28"/>
  <c r="F10" i="28"/>
  <c r="I9" i="28"/>
  <c r="G9" i="28"/>
  <c r="E9" i="28"/>
  <c r="D9" i="28"/>
  <c r="C9" i="28"/>
  <c r="J8" i="28"/>
  <c r="F8" i="28"/>
  <c r="J6" i="28"/>
  <c r="H6" i="28"/>
  <c r="F6" i="28"/>
  <c r="J5" i="28"/>
  <c r="H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C16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G17" i="23"/>
  <c r="E17" i="23"/>
  <c r="D17" i="23"/>
  <c r="M8" i="23"/>
  <c r="J8" i="23"/>
  <c r="H8" i="23"/>
  <c r="F8" i="23"/>
  <c r="M7" i="23"/>
  <c r="J7" i="23"/>
  <c r="H7" i="23"/>
  <c r="F7" i="23"/>
  <c r="J6" i="23"/>
  <c r="H6" i="23"/>
  <c r="F6" i="23"/>
  <c r="M5" i="23"/>
  <c r="J5" i="23"/>
  <c r="H5" i="23"/>
  <c r="F5" i="23"/>
  <c r="I15" i="22"/>
  <c r="G15" i="22"/>
  <c r="E15" i="22"/>
  <c r="D15" i="22"/>
  <c r="C15" i="22"/>
  <c r="I12" i="22"/>
  <c r="M12" i="22" s="1"/>
  <c r="G12" i="22"/>
  <c r="E12" i="22"/>
  <c r="D12" i="22"/>
  <c r="C12" i="22"/>
  <c r="J11" i="22"/>
  <c r="H11" i="22"/>
  <c r="F11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1"/>
  <c r="G15" i="21"/>
  <c r="D15" i="21"/>
  <c r="C15" i="21"/>
  <c r="I12" i="21"/>
  <c r="G12" i="21"/>
  <c r="E12" i="21"/>
  <c r="D12" i="21"/>
  <c r="C12" i="21"/>
  <c r="I9" i="21"/>
  <c r="G9" i="21"/>
  <c r="E9" i="21"/>
  <c r="D9" i="21"/>
  <c r="C9" i="21"/>
  <c r="M8" i="21"/>
  <c r="J8" i="21"/>
  <c r="H8" i="21"/>
  <c r="F8" i="21"/>
  <c r="J6" i="21"/>
  <c r="H6" i="21"/>
  <c r="F6" i="21"/>
  <c r="M5" i="21"/>
  <c r="J5" i="21"/>
  <c r="H5" i="21"/>
  <c r="F5" i="21"/>
  <c r="I15" i="27"/>
  <c r="G15" i="27"/>
  <c r="E15" i="27"/>
  <c r="D15" i="27"/>
  <c r="C15" i="27"/>
  <c r="I12" i="27"/>
  <c r="G12" i="27"/>
  <c r="E12" i="27"/>
  <c r="D12" i="27"/>
  <c r="C12" i="27"/>
  <c r="J10" i="27"/>
  <c r="H10" i="27"/>
  <c r="F10" i="27"/>
  <c r="I9" i="27"/>
  <c r="G9" i="27"/>
  <c r="E9" i="27"/>
  <c r="D9" i="27"/>
  <c r="C9" i="27"/>
  <c r="J8" i="27"/>
  <c r="H8" i="27"/>
  <c r="F8" i="27"/>
  <c r="M6" i="27"/>
  <c r="J6" i="27"/>
  <c r="H6" i="27"/>
  <c r="F6" i="27"/>
  <c r="M5" i="27"/>
  <c r="J5" i="27"/>
  <c r="H5" i="27"/>
  <c r="I15" i="26"/>
  <c r="G15" i="26"/>
  <c r="E15" i="26"/>
  <c r="D15" i="26"/>
  <c r="C15" i="26"/>
  <c r="I12" i="26"/>
  <c r="G12" i="26"/>
  <c r="E12" i="26"/>
  <c r="D12" i="26"/>
  <c r="C12" i="26"/>
  <c r="I9" i="26"/>
  <c r="G9" i="26"/>
  <c r="E9" i="26"/>
  <c r="D9" i="26"/>
  <c r="C9" i="26"/>
  <c r="H8" i="26"/>
  <c r="F8" i="26"/>
  <c r="M6" i="26"/>
  <c r="H6" i="26"/>
  <c r="F6" i="26"/>
  <c r="M5" i="26"/>
  <c r="H5" i="26"/>
  <c r="F5" i="26"/>
  <c r="I15" i="25"/>
  <c r="G15" i="25"/>
  <c r="E15" i="25"/>
  <c r="D15" i="25"/>
  <c r="C15" i="25"/>
  <c r="I12" i="25"/>
  <c r="G12" i="25"/>
  <c r="E12" i="25"/>
  <c r="D12" i="25"/>
  <c r="C12" i="25"/>
  <c r="J10" i="25"/>
  <c r="H10" i="25"/>
  <c r="F10" i="25"/>
  <c r="I9" i="25"/>
  <c r="G9" i="25"/>
  <c r="E9" i="25"/>
  <c r="D9" i="25"/>
  <c r="J8" i="25"/>
  <c r="H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G13" i="24"/>
  <c r="E13" i="24"/>
  <c r="D13" i="24"/>
  <c r="C13" i="24"/>
  <c r="M8" i="24"/>
  <c r="F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G12" i="20"/>
  <c r="E12" i="20"/>
  <c r="D12" i="20"/>
  <c r="C12" i="20"/>
  <c r="F10" i="20"/>
  <c r="E9" i="20"/>
  <c r="D9" i="20"/>
  <c r="C9" i="20"/>
  <c r="M8" i="20"/>
  <c r="H8" i="20"/>
  <c r="F8" i="20"/>
  <c r="M6" i="20"/>
  <c r="H6" i="20"/>
  <c r="F6" i="20"/>
  <c r="M5" i="20"/>
  <c r="H5" i="20"/>
  <c r="F5" i="20"/>
  <c r="K55" i="13"/>
  <c r="I55" i="13"/>
  <c r="G55" i="13"/>
  <c r="E55" i="13"/>
  <c r="D55" i="13"/>
  <c r="F12" i="21" l="1"/>
  <c r="J12" i="21"/>
  <c r="H12" i="21"/>
  <c r="D16" i="20"/>
  <c r="E16" i="22"/>
  <c r="D13" i="42" s="1"/>
  <c r="E16" i="27"/>
  <c r="D11" i="42" s="1"/>
  <c r="F13" i="24"/>
  <c r="I16" i="20"/>
  <c r="G16" i="20"/>
  <c r="E16" i="20"/>
  <c r="F16" i="20" s="1"/>
  <c r="J13" i="24"/>
  <c r="H13" i="24"/>
  <c r="M9" i="25"/>
  <c r="J12" i="25"/>
  <c r="F12" i="26"/>
  <c r="H12" i="26"/>
  <c r="J12" i="26"/>
  <c r="F9" i="21"/>
  <c r="E16" i="26"/>
  <c r="D16" i="26"/>
  <c r="F55" i="13"/>
  <c r="M55" i="13"/>
  <c r="F12" i="20"/>
  <c r="I16" i="26"/>
  <c r="J16" i="26" s="1"/>
  <c r="F12" i="25"/>
  <c r="J12" i="22"/>
  <c r="D16" i="21"/>
  <c r="C12" i="42" s="1"/>
  <c r="H12" i="20"/>
  <c r="J12" i="20"/>
  <c r="M17" i="23"/>
  <c r="M10" i="23"/>
  <c r="D14" i="42"/>
  <c r="F17" i="23"/>
  <c r="C17" i="23"/>
  <c r="B14" i="42" s="1"/>
  <c r="C14" i="42"/>
  <c r="J17" i="23"/>
  <c r="H17" i="23"/>
  <c r="F10" i="23"/>
  <c r="H10" i="23"/>
  <c r="J10" i="23"/>
  <c r="M9" i="22"/>
  <c r="J9" i="22"/>
  <c r="F12" i="22"/>
  <c r="H12" i="22"/>
  <c r="D16" i="22"/>
  <c r="F9" i="22"/>
  <c r="H9" i="22"/>
  <c r="M9" i="21"/>
  <c r="C16" i="21"/>
  <c r="E16" i="21"/>
  <c r="H9" i="21"/>
  <c r="J9" i="21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H12" i="25"/>
  <c r="F9" i="25"/>
  <c r="H9" i="25"/>
  <c r="M10" i="24"/>
  <c r="J10" i="24"/>
  <c r="F10" i="24"/>
  <c r="H10" i="24"/>
  <c r="H7" i="42"/>
  <c r="J9" i="20"/>
  <c r="M9" i="20"/>
  <c r="F9" i="20"/>
  <c r="H9" i="20"/>
  <c r="J55" i="13"/>
  <c r="H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M46" i="13"/>
  <c r="J46" i="13"/>
  <c r="H46" i="13"/>
  <c r="F46" i="13"/>
  <c r="M45" i="13"/>
  <c r="J45" i="13"/>
  <c r="H45" i="13"/>
  <c r="F45" i="13"/>
  <c r="I44" i="13"/>
  <c r="I56" i="13" s="1"/>
  <c r="G44" i="13"/>
  <c r="G56" i="13" s="1"/>
  <c r="E44" i="13"/>
  <c r="D44" i="13"/>
  <c r="D56" i="13" s="1"/>
  <c r="M42" i="13"/>
  <c r="J42" i="13"/>
  <c r="H42" i="13"/>
  <c r="F42" i="13"/>
  <c r="J43" i="13"/>
  <c r="H43" i="13"/>
  <c r="F43" i="13"/>
  <c r="M41" i="13"/>
  <c r="J41" i="13"/>
  <c r="H41" i="13"/>
  <c r="F41" i="13"/>
  <c r="M37" i="13"/>
  <c r="J37" i="13"/>
  <c r="H37" i="13"/>
  <c r="F37" i="13"/>
  <c r="M36" i="13"/>
  <c r="J36" i="13"/>
  <c r="F36" i="13"/>
  <c r="J38" i="13"/>
  <c r="H38" i="13"/>
  <c r="F38" i="13"/>
  <c r="M35" i="13"/>
  <c r="J35" i="13"/>
  <c r="F35" i="13"/>
  <c r="M34" i="13"/>
  <c r="J34" i="13"/>
  <c r="H34" i="13"/>
  <c r="F34" i="13"/>
  <c r="K26" i="13"/>
  <c r="I26" i="13"/>
  <c r="G26" i="13"/>
  <c r="F15" i="42" s="1"/>
  <c r="E26" i="13"/>
  <c r="D26" i="13"/>
  <c r="C15" i="42" s="1"/>
  <c r="C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M16" i="13"/>
  <c r="J16" i="13"/>
  <c r="H16" i="13"/>
  <c r="F16" i="13"/>
  <c r="K27" i="13"/>
  <c r="I15" i="13"/>
  <c r="G15" i="13"/>
  <c r="E27" i="13"/>
  <c r="D15" i="13"/>
  <c r="C15" i="13"/>
  <c r="J13" i="13"/>
  <c r="H13" i="13"/>
  <c r="F13" i="13"/>
  <c r="J14" i="13"/>
  <c r="H14" i="13"/>
  <c r="F14" i="13"/>
  <c r="J12" i="13"/>
  <c r="H12" i="13"/>
  <c r="F12" i="13"/>
  <c r="J8" i="13"/>
  <c r="H8" i="13"/>
  <c r="F8" i="13"/>
  <c r="J7" i="13"/>
  <c r="H7" i="13"/>
  <c r="F7" i="13"/>
  <c r="J9" i="13"/>
  <c r="H9" i="13"/>
  <c r="F9" i="13"/>
  <c r="M6" i="13"/>
  <c r="J6" i="13"/>
  <c r="H6" i="13"/>
  <c r="F6" i="13"/>
  <c r="M5" i="13"/>
  <c r="J5" i="13"/>
  <c r="H5" i="13"/>
  <c r="F5" i="13"/>
  <c r="C10" i="42" l="1"/>
  <c r="H10" i="42"/>
  <c r="D7" i="42"/>
  <c r="F7" i="42"/>
  <c r="M16" i="20"/>
  <c r="F16" i="26"/>
  <c r="F44" i="13"/>
  <c r="M16" i="26"/>
  <c r="B10" i="42"/>
  <c r="B12" i="42"/>
  <c r="I27" i="13"/>
  <c r="B15" i="42"/>
  <c r="H14" i="42" s="1"/>
  <c r="F14" i="42" s="1"/>
  <c r="C16" i="22"/>
  <c r="B13" i="42" s="1"/>
  <c r="C13" i="42"/>
  <c r="F16" i="22"/>
  <c r="D12" i="42"/>
  <c r="F16" i="21"/>
  <c r="C16" i="27"/>
  <c r="B11" i="42" s="1"/>
  <c r="C11" i="42"/>
  <c r="F16" i="27"/>
  <c r="C16" i="20"/>
  <c r="B7" i="42" s="1"/>
  <c r="J16" i="20"/>
  <c r="H16" i="20"/>
  <c r="C7" i="42"/>
  <c r="J15" i="13"/>
  <c r="M15" i="13"/>
  <c r="G27" i="13"/>
  <c r="J56" i="13"/>
  <c r="H56" i="13"/>
  <c r="H44" i="13"/>
  <c r="J44" i="13"/>
  <c r="F26" i="13"/>
  <c r="H26" i="13"/>
  <c r="J26" i="13"/>
  <c r="D27" i="13"/>
  <c r="F15" i="13"/>
  <c r="H15" i="13"/>
  <c r="M27" i="13" l="1"/>
  <c r="K44" i="13"/>
  <c r="C27" i="13"/>
  <c r="J27" i="13"/>
  <c r="H27" i="13"/>
  <c r="F27" i="13"/>
  <c r="M73" i="16"/>
  <c r="J73" i="16"/>
  <c r="H73" i="16"/>
  <c r="F73" i="16"/>
  <c r="M72" i="16"/>
  <c r="J72" i="16"/>
  <c r="H72" i="16"/>
  <c r="F72" i="16"/>
  <c r="M71" i="16"/>
  <c r="J71" i="16"/>
  <c r="H71" i="16"/>
  <c r="F71" i="16"/>
  <c r="M70" i="16"/>
  <c r="J70" i="16"/>
  <c r="H70" i="16"/>
  <c r="F70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M62" i="16"/>
  <c r="J62" i="16"/>
  <c r="H62" i="16"/>
  <c r="F62" i="16"/>
  <c r="J60" i="16"/>
  <c r="H60" i="16"/>
  <c r="F60" i="16"/>
  <c r="M58" i="16"/>
  <c r="J58" i="16"/>
  <c r="H58" i="16"/>
  <c r="F58" i="16"/>
  <c r="M56" i="16"/>
  <c r="J56" i="16"/>
  <c r="H56" i="16"/>
  <c r="F56" i="16"/>
  <c r="M55" i="16"/>
  <c r="J55" i="16"/>
  <c r="H55" i="16"/>
  <c r="F55" i="16"/>
  <c r="J50" i="16"/>
  <c r="H50" i="16"/>
  <c r="F50" i="16"/>
  <c r="J45" i="16"/>
  <c r="H45" i="16"/>
  <c r="F45" i="16"/>
  <c r="J44" i="16"/>
  <c r="H44" i="16"/>
  <c r="F44" i="16"/>
  <c r="J36" i="16"/>
  <c r="H36" i="16"/>
  <c r="F36" i="16"/>
  <c r="M31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J21" i="16"/>
  <c r="H21" i="16"/>
  <c r="F21" i="16"/>
  <c r="H20" i="16"/>
  <c r="F20" i="16"/>
  <c r="H19" i="16"/>
  <c r="F19" i="16"/>
  <c r="H18" i="16"/>
  <c r="F18" i="16"/>
  <c r="M16" i="16"/>
  <c r="H16" i="16"/>
  <c r="F16" i="16"/>
  <c r="M14" i="16"/>
  <c r="H14" i="16"/>
  <c r="F14" i="16"/>
  <c r="H13" i="16"/>
  <c r="F13" i="16"/>
  <c r="H11" i="16"/>
  <c r="F11" i="16"/>
  <c r="M9" i="16"/>
  <c r="H9" i="16"/>
  <c r="F9" i="16"/>
  <c r="M8" i="16"/>
  <c r="H8" i="16"/>
  <c r="F8" i="16"/>
  <c r="M7" i="16"/>
  <c r="H7" i="16"/>
  <c r="F7" i="16"/>
  <c r="I6" i="16"/>
  <c r="I76" i="16" s="1"/>
  <c r="D6" i="16"/>
  <c r="D76" i="16" s="1"/>
  <c r="C6" i="16"/>
  <c r="C76" i="16" s="1"/>
  <c r="M5" i="16"/>
  <c r="H5" i="16"/>
  <c r="F5" i="16"/>
  <c r="K56" i="13" l="1"/>
  <c r="M56" i="13" s="1"/>
  <c r="M43" i="13"/>
  <c r="J6" i="16"/>
  <c r="F75" i="16"/>
  <c r="M26" i="13"/>
  <c r="M44" i="13"/>
  <c r="F27" i="16"/>
  <c r="F6" i="16"/>
  <c r="M6" i="16"/>
  <c r="M27" i="16"/>
  <c r="M153" i="16"/>
  <c r="J75" i="16"/>
  <c r="J61" i="16"/>
  <c r="M61" i="16"/>
  <c r="M34" i="16"/>
  <c r="J27" i="16"/>
  <c r="H75" i="16"/>
  <c r="F61" i="16"/>
  <c r="H61" i="16"/>
  <c r="H27" i="16"/>
  <c r="H6" i="16"/>
  <c r="J125" i="45"/>
  <c r="H125" i="45"/>
  <c r="F125" i="45"/>
  <c r="M124" i="45"/>
  <c r="J124" i="45"/>
  <c r="H124" i="45"/>
  <c r="F124" i="45"/>
  <c r="J123" i="45"/>
  <c r="H123" i="45"/>
  <c r="F123" i="45"/>
  <c r="M122" i="45"/>
  <c r="F122" i="45"/>
  <c r="F121" i="45"/>
  <c r="F116" i="45"/>
  <c r="F118" i="45"/>
  <c r="F117" i="45"/>
  <c r="F112" i="45"/>
  <c r="F115" i="45"/>
  <c r="F113" i="45"/>
  <c r="M120" i="45"/>
  <c r="F120" i="45"/>
  <c r="F119" i="45"/>
  <c r="F109" i="45"/>
  <c r="M108" i="45"/>
  <c r="H108" i="45"/>
  <c r="F108" i="45"/>
  <c r="H107" i="45"/>
  <c r="F107" i="45"/>
  <c r="H106" i="45"/>
  <c r="F106" i="45"/>
  <c r="H105" i="45"/>
  <c r="F105" i="45"/>
  <c r="H104" i="45"/>
  <c r="F104" i="45"/>
  <c r="F76" i="16" l="1"/>
  <c r="J76" i="16"/>
  <c r="H76" i="16"/>
  <c r="F127" i="45"/>
  <c r="M75" i="16"/>
  <c r="M127" i="45"/>
  <c r="J127" i="45"/>
  <c r="H127" i="45"/>
  <c r="I98" i="45" l="1"/>
  <c r="G98" i="45"/>
  <c r="G128" i="45" s="1"/>
  <c r="E98" i="45"/>
  <c r="E128" i="45" s="1"/>
  <c r="C98" i="45"/>
  <c r="C128" i="45" s="1"/>
  <c r="J87" i="45"/>
  <c r="H87" i="45"/>
  <c r="F87" i="45"/>
  <c r="J84" i="45"/>
  <c r="H84" i="45"/>
  <c r="F84" i="45"/>
  <c r="J83" i="45"/>
  <c r="H83" i="45"/>
  <c r="F83" i="45"/>
  <c r="J82" i="45"/>
  <c r="H82" i="45"/>
  <c r="F82" i="45"/>
  <c r="M81" i="45"/>
  <c r="J81" i="45"/>
  <c r="H81" i="45"/>
  <c r="F81" i="45"/>
  <c r="M80" i="45"/>
  <c r="J80" i="45"/>
  <c r="H80" i="45"/>
  <c r="F80" i="45"/>
  <c r="J79" i="45"/>
  <c r="H79" i="45"/>
  <c r="F79" i="45"/>
  <c r="F128" i="45" l="1"/>
  <c r="I128" i="45"/>
  <c r="M98" i="45"/>
  <c r="H128" i="45"/>
  <c r="F98" i="45"/>
  <c r="H98" i="45"/>
  <c r="J98" i="45"/>
  <c r="J78" i="45"/>
  <c r="H78" i="45"/>
  <c r="F78" i="45"/>
  <c r="J77" i="45"/>
  <c r="H77" i="45"/>
  <c r="F77" i="45"/>
  <c r="M76" i="45"/>
  <c r="J76" i="45"/>
  <c r="H76" i="45"/>
  <c r="F76" i="45"/>
  <c r="M75" i="45"/>
  <c r="J75" i="45"/>
  <c r="H75" i="45"/>
  <c r="F75" i="45"/>
  <c r="M74" i="45"/>
  <c r="J74" i="45"/>
  <c r="H74" i="45"/>
  <c r="H73" i="45"/>
  <c r="J72" i="45"/>
  <c r="H72" i="45"/>
  <c r="F72" i="45"/>
  <c r="J71" i="45"/>
  <c r="H71" i="45"/>
  <c r="F71" i="45"/>
  <c r="M70" i="45"/>
  <c r="J70" i="45"/>
  <c r="H70" i="45"/>
  <c r="F70" i="45"/>
  <c r="M69" i="45"/>
  <c r="J69" i="45"/>
  <c r="H69" i="45"/>
  <c r="F69" i="45"/>
  <c r="J68" i="45"/>
  <c r="H68" i="45"/>
  <c r="F68" i="45"/>
  <c r="J67" i="45"/>
  <c r="H67" i="45"/>
  <c r="F67" i="45"/>
  <c r="M128" i="45" l="1"/>
  <c r="J128" i="45"/>
  <c r="I61" i="45"/>
  <c r="M61" i="45" s="1"/>
  <c r="G61" i="45"/>
  <c r="E61" i="45"/>
  <c r="D61" i="45"/>
  <c r="C61" i="45"/>
  <c r="F61" i="45" l="1"/>
  <c r="J61" i="45"/>
  <c r="H61" i="45"/>
  <c r="J59" i="45"/>
  <c r="H59" i="45"/>
  <c r="F59" i="45"/>
  <c r="M58" i="45"/>
  <c r="J58" i="45"/>
  <c r="H58" i="45"/>
  <c r="F58" i="45"/>
  <c r="I57" i="45"/>
  <c r="G57" i="45"/>
  <c r="E57" i="45"/>
  <c r="D57" i="45"/>
  <c r="C57" i="45"/>
  <c r="J55" i="45"/>
  <c r="H55" i="45"/>
  <c r="F55" i="45"/>
  <c r="M54" i="45"/>
  <c r="J54" i="45"/>
  <c r="H54" i="45"/>
  <c r="F54" i="45"/>
  <c r="M53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H48" i="45"/>
  <c r="F48" i="45"/>
  <c r="J41" i="45"/>
  <c r="H41" i="45"/>
  <c r="F41" i="45"/>
  <c r="J45" i="45"/>
  <c r="H45" i="45"/>
  <c r="F45" i="45"/>
  <c r="H49" i="45"/>
  <c r="F49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H24" i="45"/>
  <c r="F24" i="45"/>
  <c r="J23" i="45"/>
  <c r="H23" i="45"/>
  <c r="F23" i="45"/>
  <c r="H22" i="45"/>
  <c r="F22" i="45"/>
  <c r="J21" i="45"/>
  <c r="H21" i="45"/>
  <c r="F21" i="45"/>
  <c r="M20" i="45"/>
  <c r="J20" i="45"/>
  <c r="H20" i="45"/>
  <c r="F20" i="45"/>
  <c r="H19" i="45"/>
  <c r="F19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F14" i="45"/>
  <c r="M13" i="45"/>
  <c r="J13" i="45"/>
  <c r="H13" i="45"/>
  <c r="F13" i="45"/>
  <c r="M12" i="45"/>
  <c r="J12" i="45"/>
  <c r="H12" i="45"/>
  <c r="F12" i="45"/>
  <c r="I11" i="45"/>
  <c r="G11" i="45"/>
  <c r="E11" i="45"/>
  <c r="D11" i="45"/>
  <c r="C11" i="45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H12" i="14" s="1"/>
  <c r="J12" i="14" s="1"/>
  <c r="I16" i="1"/>
  <c r="E16" i="1"/>
  <c r="C16" i="1"/>
  <c r="M15" i="1"/>
  <c r="J15" i="1"/>
  <c r="H15" i="1"/>
  <c r="M14" i="1"/>
  <c r="J14" i="1"/>
  <c r="H14" i="1"/>
  <c r="K13" i="1"/>
  <c r="H9" i="14" s="1"/>
  <c r="J9" i="14" s="1"/>
  <c r="I13" i="1"/>
  <c r="E13" i="1"/>
  <c r="C13" i="1"/>
  <c r="M12" i="1"/>
  <c r="J12" i="1"/>
  <c r="H12" i="1"/>
  <c r="P11" i="1"/>
  <c r="M11" i="1"/>
  <c r="J11" i="1"/>
  <c r="H11" i="1"/>
  <c r="K10" i="1"/>
  <c r="H6" i="14" s="1"/>
  <c r="J6" i="14" s="1"/>
  <c r="G17" i="1"/>
  <c r="P8" i="1"/>
  <c r="M8" i="1"/>
  <c r="J8" i="1"/>
  <c r="P7" i="1"/>
  <c r="M7" i="1"/>
  <c r="J7" i="1"/>
  <c r="H7" i="1"/>
  <c r="P6" i="1"/>
  <c r="M6" i="1"/>
  <c r="J6" i="1"/>
  <c r="H6" i="1"/>
  <c r="M5" i="1"/>
  <c r="J5" i="1"/>
  <c r="H5" i="1"/>
  <c r="O27" i="1" l="1"/>
  <c r="C129" i="45"/>
  <c r="O33" i="1"/>
  <c r="P33" i="1" s="1"/>
  <c r="D129" i="45"/>
  <c r="E129" i="45"/>
  <c r="P16" i="1"/>
  <c r="E17" i="1"/>
  <c r="F9" i="1" s="1"/>
  <c r="C17" i="1"/>
  <c r="D9" i="1" s="1"/>
  <c r="H16" i="1"/>
  <c r="H13" i="1"/>
  <c r="G129" i="45"/>
  <c r="K17" i="1"/>
  <c r="F57" i="45"/>
  <c r="I17" i="1"/>
  <c r="F5" i="42" s="1"/>
  <c r="J57" i="45"/>
  <c r="M57" i="45"/>
  <c r="M11" i="45"/>
  <c r="H57" i="45"/>
  <c r="F11" i="45"/>
  <c r="H11" i="45"/>
  <c r="J11" i="45"/>
  <c r="M16" i="1"/>
  <c r="P13" i="1"/>
  <c r="M13" i="1"/>
  <c r="P10" i="1"/>
  <c r="P29" i="1"/>
  <c r="P28" i="1"/>
  <c r="J16" i="1"/>
  <c r="J13" i="1"/>
  <c r="H10" i="1"/>
  <c r="J10" i="1"/>
  <c r="M10" i="1"/>
  <c r="K29" i="44"/>
  <c r="H29" i="44"/>
  <c r="F29" i="44"/>
  <c r="K28" i="44"/>
  <c r="L16" i="1" l="1"/>
  <c r="D5" i="1"/>
  <c r="D7" i="1"/>
  <c r="D6" i="1"/>
  <c r="D8" i="1"/>
  <c r="H129" i="45"/>
  <c r="F129" i="45"/>
  <c r="F10" i="1"/>
  <c r="P27" i="1"/>
  <c r="C6" i="42"/>
  <c r="C5" i="42"/>
  <c r="F16" i="1"/>
  <c r="H17" i="1"/>
  <c r="F13" i="1"/>
  <c r="D6" i="42"/>
  <c r="H6" i="42"/>
  <c r="L7" i="1"/>
  <c r="L5" i="1"/>
  <c r="L15" i="1"/>
  <c r="L13" i="1"/>
  <c r="L11" i="1"/>
  <c r="L8" i="1"/>
  <c r="L6" i="1"/>
  <c r="L10" i="1"/>
  <c r="F14" i="1"/>
  <c r="F12" i="1"/>
  <c r="F7" i="1"/>
  <c r="F5" i="1"/>
  <c r="F15" i="1"/>
  <c r="F11" i="1"/>
  <c r="F8" i="1"/>
  <c r="F6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H31" i="44"/>
  <c r="E16" i="44" l="1"/>
  <c r="D16" i="44"/>
  <c r="C16" i="44"/>
  <c r="E8" i="44"/>
  <c r="D8" i="44"/>
  <c r="C8" i="44"/>
  <c r="D17" i="44" l="1"/>
  <c r="F16" i="44"/>
  <c r="E17" i="44"/>
  <c r="F8" i="44"/>
  <c r="C17" i="44"/>
  <c r="K66" i="43"/>
  <c r="G66" i="43"/>
  <c r="C66" i="43"/>
  <c r="K64" i="43"/>
  <c r="H64" i="43"/>
  <c r="F64" i="43"/>
  <c r="K63" i="43"/>
  <c r="H63" i="43"/>
  <c r="K62" i="43"/>
  <c r="F62" i="43"/>
  <c r="K61" i="43"/>
  <c r="H61" i="43"/>
  <c r="F61" i="43"/>
  <c r="K60" i="43"/>
  <c r="H60" i="43"/>
  <c r="F60" i="43"/>
  <c r="G59" i="43"/>
  <c r="E59" i="43"/>
  <c r="E67" i="43" s="1"/>
  <c r="C59" i="43"/>
  <c r="F58" i="43"/>
  <c r="F57" i="43"/>
  <c r="K55" i="43"/>
  <c r="F55" i="43"/>
  <c r="F17" i="44" l="1"/>
  <c r="K59" i="43"/>
  <c r="H66" i="43"/>
  <c r="F66" i="43"/>
  <c r="F59" i="43"/>
  <c r="H59" i="43"/>
  <c r="H47" i="43"/>
  <c r="F47" i="43"/>
  <c r="F42" i="43" l="1"/>
  <c r="G37" i="43" l="1"/>
  <c r="D37" i="43" l="1"/>
  <c r="C37" i="43"/>
  <c r="K36" i="43"/>
  <c r="H36" i="43"/>
  <c r="F36" i="43"/>
  <c r="K33" i="43"/>
  <c r="F33" i="43"/>
  <c r="K32" i="43"/>
  <c r="F32" i="43"/>
  <c r="K31" i="43"/>
  <c r="F31" i="43"/>
  <c r="H30" i="43"/>
  <c r="F30" i="43"/>
  <c r="K29" i="43"/>
  <c r="F29" i="43"/>
  <c r="K28" i="43"/>
  <c r="F28" i="43"/>
  <c r="K26" i="43"/>
  <c r="F37" i="43" l="1"/>
  <c r="K37" i="43"/>
  <c r="H37" i="43"/>
  <c r="F26" i="43"/>
  <c r="K25" i="43"/>
  <c r="F25" i="43"/>
  <c r="F24" i="43"/>
  <c r="K23" i="43"/>
  <c r="F23" i="43"/>
  <c r="K22" i="43"/>
  <c r="F22" i="43"/>
  <c r="F21" i="43"/>
  <c r="K20" i="43"/>
  <c r="F20" i="43"/>
  <c r="K19" i="43"/>
  <c r="F19" i="43"/>
  <c r="K18" i="43"/>
  <c r="F18" i="43"/>
  <c r="G14" i="43"/>
  <c r="K13" i="43"/>
  <c r="H13" i="43"/>
  <c r="F13" i="43"/>
  <c r="K12" i="43"/>
  <c r="F12" i="43"/>
  <c r="G11" i="43"/>
  <c r="D67" i="43"/>
  <c r="C11" i="43"/>
  <c r="F10" i="43"/>
  <c r="F8" i="43"/>
  <c r="K7" i="43"/>
  <c r="F7" i="43"/>
  <c r="K6" i="43"/>
  <c r="F6" i="43"/>
  <c r="K67" i="43" l="1"/>
  <c r="G67" i="43"/>
  <c r="H67" i="43" s="1"/>
  <c r="C67" i="43"/>
  <c r="K14" i="43"/>
  <c r="F14" i="43"/>
  <c r="H14" i="43"/>
  <c r="F11" i="43"/>
  <c r="K11" i="43"/>
  <c r="F67" i="43"/>
  <c r="J16" i="15"/>
  <c r="G16" i="15"/>
  <c r="H11" i="14" s="1"/>
  <c r="J11" i="14" s="1"/>
  <c r="E16" i="15"/>
  <c r="N15" i="15"/>
  <c r="K15" i="15"/>
  <c r="I15" i="15"/>
  <c r="K16" i="15" l="1"/>
  <c r="I16" i="15"/>
  <c r="J13" i="15"/>
  <c r="K13" i="15" s="1"/>
  <c r="G13" i="15"/>
  <c r="H8" i="14" s="1"/>
  <c r="J8" i="14" s="1"/>
  <c r="I11" i="15"/>
  <c r="J10" i="15"/>
  <c r="G10" i="15"/>
  <c r="H5" i="14" s="1"/>
  <c r="N9" i="15"/>
  <c r="N8" i="15"/>
  <c r="N7" i="15"/>
  <c r="N6" i="15"/>
  <c r="N5" i="15"/>
  <c r="H7" i="14" l="1"/>
  <c r="J5" i="14"/>
  <c r="J18" i="15"/>
  <c r="I13" i="15"/>
  <c r="G18" i="15"/>
  <c r="E18" i="15"/>
  <c r="F17" i="15" s="1"/>
  <c r="K10" i="15"/>
  <c r="I10" i="15"/>
  <c r="N10" i="15"/>
  <c r="F17" i="14"/>
  <c r="J7" i="14" l="1"/>
  <c r="H10" i="14"/>
  <c r="H10" i="15"/>
  <c r="H6" i="15"/>
  <c r="H8" i="15"/>
  <c r="H5" i="15"/>
  <c r="H7" i="15"/>
  <c r="H9" i="15"/>
  <c r="F15" i="15"/>
  <c r="F7" i="15"/>
  <c r="F9" i="15"/>
  <c r="F14" i="15"/>
  <c r="F6" i="15"/>
  <c r="F8" i="15"/>
  <c r="F5" i="15"/>
  <c r="F10" i="15"/>
  <c r="I18" i="15"/>
  <c r="C4" i="42"/>
  <c r="H13" i="15"/>
  <c r="H12" i="15"/>
  <c r="H15" i="15"/>
  <c r="H16" i="15"/>
  <c r="H11" i="15"/>
  <c r="F16" i="15"/>
  <c r="F13" i="15"/>
  <c r="F11" i="15"/>
  <c r="F12" i="15"/>
  <c r="E17" i="14"/>
  <c r="H17" i="14"/>
  <c r="E18" i="14"/>
  <c r="G18" i="14"/>
  <c r="D17" i="14"/>
  <c r="H13" i="14" l="1"/>
  <c r="J13" i="14" s="1"/>
  <c r="J10" i="14"/>
  <c r="I18" i="14"/>
  <c r="I17" i="14"/>
  <c r="G17" i="14"/>
  <c r="D18" i="14"/>
  <c r="C17" i="14"/>
  <c r="F18" i="14"/>
  <c r="H18" i="14" l="1"/>
  <c r="C18" i="14"/>
  <c r="H15" i="42"/>
  <c r="K18" i="15"/>
  <c r="B4" i="42"/>
  <c r="N16" i="15"/>
  <c r="N18" i="15" l="1"/>
  <c r="D34" i="1"/>
  <c r="E34" i="1"/>
  <c r="C34" i="1"/>
  <c r="I34" i="1"/>
  <c r="I129" i="45" l="1"/>
  <c r="J129" i="45" l="1"/>
  <c r="M129" i="45"/>
  <c r="D5" i="42"/>
  <c r="H5" i="42" l="1"/>
  <c r="M76" i="16" l="1"/>
  <c r="J153" i="16"/>
  <c r="F153" i="16" l="1"/>
  <c r="H153" i="16"/>
  <c r="E56" i="13"/>
  <c r="D17" i="24"/>
  <c r="E17" i="24"/>
  <c r="I17" i="24"/>
  <c r="G17" i="24"/>
  <c r="C8" i="42"/>
  <c r="C17" i="24"/>
  <c r="B8" i="42" s="1"/>
  <c r="F8" i="42" l="1"/>
  <c r="D8" i="42"/>
  <c r="F56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1"/>
  <c r="H16" i="21" s="1"/>
  <c r="I16" i="21"/>
  <c r="J16" i="21" s="1"/>
  <c r="G16" i="22"/>
  <c r="H16" i="22" s="1"/>
  <c r="I16" i="22"/>
  <c r="J16" i="22" s="1"/>
  <c r="E16" i="28"/>
  <c r="D15" i="42" l="1"/>
  <c r="H13" i="42"/>
  <c r="F13" i="42"/>
  <c r="H12" i="42"/>
  <c r="F16" i="28"/>
  <c r="M16" i="22"/>
  <c r="F12" i="42"/>
  <c r="M16" i="21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</commentList>
</comments>
</file>

<file path=xl/sharedStrings.xml><?xml version="1.0" encoding="utf-8"?>
<sst xmlns="http://schemas.openxmlformats.org/spreadsheetml/2006/main" count="1874" uniqueCount="574">
  <si>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</si>
  <si>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</si>
  <si>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</si>
  <si>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</si>
  <si>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</si>
  <si>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</si>
  <si>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</si>
  <si>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</si>
  <si>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</si>
  <si>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</si>
  <si>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</si>
  <si>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</si>
  <si>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</si>
  <si>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</si>
  <si>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</si>
  <si>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</si>
  <si>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</si>
  <si>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</si>
  <si>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</si>
  <si>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</si>
  <si>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</si>
  <si>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</si>
  <si>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</si>
  <si>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Urbans i Medi Ambient</t>
  </si>
  <si>
    <t>Prevenció, Seguretat i Mobilitat</t>
  </si>
  <si>
    <t>Urbanisme i Infraestructures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</si>
  <si>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</si>
  <si>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</si>
  <si>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</si>
  <si>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</si>
  <si>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</si>
  <si>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</si>
  <si>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</si>
  <si>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</si>
  <si>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</si>
  <si>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</si>
  <si>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</si>
  <si>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</si>
  <si>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</si>
  <si>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</si>
  <si>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</si>
  <si>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</si>
  <si>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</si>
  <si>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</si>
  <si>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</si>
  <si>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</si>
  <si>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</si>
  <si>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</si>
  <si>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</si>
  <si>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</si>
  <si>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</si>
  <si>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</si>
  <si>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</si>
  <si>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</si>
  <si>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</si>
  <si>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</si>
  <si>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</si>
  <si>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</si>
  <si>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</si>
  <si>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</si>
  <si>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</si>
  <si>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</si>
  <si>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</si>
  <si>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</si>
  <si>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</si>
  <si>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</si>
  <si>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</si>
  <si>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</si>
  <si>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</si>
  <si>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</si>
  <si>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</si>
  <si>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</si>
  <si>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</si>
  <si>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</si>
  <si>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</si>
  <si>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</si>
  <si>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</si>
  <si>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</si>
  <si>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</si>
  <si>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</si>
  <si>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</si>
  <si>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</si>
  <si>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</si>
  <si>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</si>
  <si>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</si>
  <si>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</si>
  <si>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</si>
  <si>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</si>
  <si>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</si>
  <si>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</si>
  <si>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</si>
  <si>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</si>
  <si>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</si>
  <si>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</si>
  <si>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</si>
  <si>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</si>
  <si>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</si>
  <si>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</si>
  <si>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</si>
  <si>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</si>
  <si>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Urbanisme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</si>
  <si>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</si>
  <si>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</si>
  <si>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</si>
  <si>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</si>
  <si>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</si>
  <si>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</si>
  <si>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</si>
  <si>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</si>
  <si>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</si>
  <si>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</si>
  <si>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</si>
  <si>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</si>
  <si>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</si>
  <si>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</si>
  <si>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</si>
  <si>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</si>
  <si>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</si>
  <si>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</si>
  <si>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</si>
  <si>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</si>
  <si>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</si>
  <si>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</si>
  <si>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</si>
  <si>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</si>
  <si>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</si>
  <si>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</si>
  <si>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</si>
  <si>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</si>
  <si>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</si>
  <si>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</si>
  <si>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Urbans i Medi ambient</t>
  </si>
  <si>
    <t>Execució de despeses. Prevenció, Seguretat i Mobilitat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</si>
  <si>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</si>
  <si>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</si>
  <si>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</si>
  <si>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</si>
  <si>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</si>
  <si>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</si>
  <si>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</si>
  <si>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</si>
  <si>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</si>
  <si>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</si>
  <si>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</si>
  <si>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</si>
  <si>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</si>
  <si>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</si>
  <si>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</si>
  <si>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</si>
  <si>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</si>
  <si>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</si>
  <si>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</si>
  <si>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</si>
  <si>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</si>
  <si>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</si>
  <si>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</si>
  <si>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</si>
  <si>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</si>
  <si>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</si>
  <si>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</si>
  <si>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</si>
  <si>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</si>
  <si>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</si>
  <si>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</si>
  <si>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</si>
  <si>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</si>
  <si>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</si>
  <si>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</si>
  <si>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</si>
  <si>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</si>
  <si>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</si>
  <si>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</si>
  <si>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</si>
  <si>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</si>
  <si>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</si>
  <si>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</si>
  <si>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</si>
  <si>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</si>
  <si>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</si>
  <si>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</si>
  <si>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</si>
  <si>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</si>
  <si>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</si>
  <si>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</si>
  <si>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</si>
  <si>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</si>
  <si>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</si>
  <si>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</si>
  <si>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</si>
  <si>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</si>
  <si>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</si>
  <si>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</si>
  <si>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</si>
  <si>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</si>
  <si>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</si>
  <si>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</si>
  <si>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</si>
  <si>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</si>
  <si>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</si>
  <si>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</si>
  <si>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</si>
  <si>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</si>
  <si>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</si>
  <si>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</si>
  <si>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</si>
  <si>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</si>
  <si>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</si>
  <si>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</si>
  <si>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</si>
  <si>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</si>
  <si>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</si>
  <si>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</si>
  <si>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</si>
  <si>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</si>
  <si>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</si>
  <si>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</si>
  <si>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</si>
  <si>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</si>
  <si>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</si>
  <si>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</si>
  <si>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</si>
  <si>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</si>
  <si>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</si>
  <si>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</si>
  <si>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</si>
  <si>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</si>
  <si>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</si>
  <si>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</si>
  <si>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</si>
  <si>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</si>
  <si>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</si>
  <si>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</si>
  <si>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</si>
  <si>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</si>
  <si>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</si>
  <si>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</si>
  <si>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</si>
  <si>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</si>
  <si>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</si>
  <si>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</si>
  <si>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</si>
  <si>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</si>
  <si>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</si>
  <si>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</si>
  <si>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</si>
  <si>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</si>
  <si>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</si>
  <si>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</si>
  <si>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</si>
  <si>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</si>
  <si>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</si>
  <si>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</si>
  <si>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</si>
  <si>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</si>
  <si>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</si>
  <si>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</si>
  <si>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</si>
  <si>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</si>
  <si>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</si>
  <si>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</si>
  <si>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</si>
  <si>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</si>
  <si>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</si>
  <si>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</si>
  <si>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</si>
  <si>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</si>
  <si>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</si>
  <si>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</si>
  <si>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</si>
  <si>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</si>
  <si>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</si>
  <si>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</si>
  <si>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</si>
  <si>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</si>
  <si>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</si>
  <si>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</si>
  <si>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</si>
  <si>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</si>
  <si>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</si>
  <si>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</si>
  <si>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</si>
  <si>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</si>
  <si>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</si>
  <si>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</si>
  <si>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</si>
  <si>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</si>
  <si>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</si>
  <si>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</si>
  <si>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</si>
  <si>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</si>
  <si>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</si>
  <si>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</si>
  <si>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</si>
  <si>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</si>
  <si>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</si>
  <si>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</si>
  <si>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</si>
  <si>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</si>
  <si>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</si>
  <si>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</si>
  <si>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</si>
  <si>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</si>
  <si>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</si>
  <si>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</si>
  <si>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</si>
  <si>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</si>
  <si>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</si>
  <si>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</si>
  <si>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</si>
  <si>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</si>
  <si>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</si>
  <si>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</si>
  <si>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</si>
  <si>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</si>
  <si>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</si>
  <si>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</si>
  <si>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</si>
  <si>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</si>
  <si>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</si>
  <si>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</si>
  <si>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</si>
  <si>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</si>
  <si>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</si>
  <si>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</si>
  <si>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</si>
  <si>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</si>
  <si>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</si>
  <si>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</si>
  <si>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</si>
  <si>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</si>
  <si>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</si>
  <si>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</si>
  <si>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</si>
  <si>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</si>
  <si>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</si>
  <si>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</si>
  <si>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</si>
  <si>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</si>
  <si>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</si>
  <si>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</si>
  <si>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</si>
  <si>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</si>
  <si>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</si>
  <si>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</si>
  <si>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</si>
  <si>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</si>
  <si>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</si>
  <si>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</si>
  <si>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</si>
  <si>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</si>
  <si>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</si>
  <si>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</si>
  <si>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</si>
  <si>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</si>
  <si>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</si>
  <si>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</si>
  <si>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</si>
  <si>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</si>
  <si>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</si>
  <si>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</si>
  <si>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</si>
  <si>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</si>
  <si>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</si>
  <si>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</si>
  <si>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</si>
  <si>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</si>
  <si>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</si>
  <si>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</si>
  <si>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</si>
  <si>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</si>
  <si>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</si>
  <si>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</si>
  <si>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</si>
  <si>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41030-41031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</si>
  <si>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</si>
  <si>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</si>
  <si>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</si>
  <si>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</si>
  <si>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</si>
  <si>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</si>
  <si>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</si>
  <si>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</si>
  <si>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</si>
  <si>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</si>
  <si>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</si>
  <si>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</si>
  <si>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</si>
  <si>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</si>
  <si>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</si>
  <si>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</si>
  <si>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</si>
  <si>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</si>
  <si>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</si>
  <si>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</si>
  <si>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</si>
  <si>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</si>
  <si>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</si>
  <si>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</si>
  <si>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</si>
  <si>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</si>
  <si>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</si>
  <si>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</si>
  <si>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</si>
  <si>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</si>
  <si>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</si>
  <si>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</si>
  <si>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</si>
  <si>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</si>
  <si>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</si>
  <si>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</si>
  <si>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</si>
  <si>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</si>
  <si>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</si>
  <si>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Resultat Pressupostari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</si>
  <si>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</si>
  <si>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</si>
  <si>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</si>
  <si>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</si>
  <si>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</si>
  <si>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</si>
  <si>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</si>
  <si>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</si>
  <si>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</si>
  <si>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</si>
  <si>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</si>
  <si>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</si>
  <si>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</si>
  <si>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</si>
  <si>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Gerència de recursos</t>
  </si>
  <si>
    <t>Qualitat de vida, igualtat i esports</t>
  </si>
  <si>
    <t>0502</t>
  </si>
  <si>
    <t>0501</t>
  </si>
  <si>
    <t>Habitat Urbà</t>
  </si>
  <si>
    <t>Economia, Empresa i Ocupació</t>
  </si>
  <si>
    <t>0703</t>
  </si>
  <si>
    <t>Cultura, coneixement e innovació</t>
  </si>
  <si>
    <t>Execució de despeses. Gerència de recursos</t>
  </si>
  <si>
    <t>Execució de despeses. Qualitat de vida, igualtat i esports</t>
  </si>
  <si>
    <t>Execució de despeses. Habitat Urbà</t>
  </si>
  <si>
    <t>Execució de despeses. Economia, empresa i ocupació</t>
  </si>
  <si>
    <t>Execució de despeses. Cultura, coneixement i innovació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</si>
  <si>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</si>
  <si>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</si>
  <si>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</si>
  <si>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</si>
  <si>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</si>
  <si>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</si>
  <si>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</si>
  <si>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</si>
  <si>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</si>
  <si>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2013 L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</si>
  <si>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</si>
  <si>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</si>
  <si>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</si>
  <si>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</si>
  <si>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</si>
  <si>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</si>
  <si>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Resum per grups de programa*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</si>
  <si>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</si>
  <si>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</si>
  <si>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</si>
  <si>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</si>
  <si>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</si>
  <si>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</si>
  <si>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</si>
  <si>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 xml:space="preserve">Urbanisme    </t>
  </si>
  <si>
    <t>Execució de despeses. Urbanisme</t>
  </si>
  <si>
    <t>1*</t>
  </si>
  <si>
    <t>CRED. EXTRA.</t>
  </si>
  <si>
    <t>Actius financers*</t>
  </si>
  <si>
    <t>Ingressos financers*</t>
  </si>
  <si>
    <t>41040-41041</t>
  </si>
  <si>
    <t>Execució de despeses. Infraestructures i coordinació urbana</t>
  </si>
  <si>
    <t>0504</t>
  </si>
  <si>
    <t>Infraestructures i coord.urbana</t>
  </si>
  <si>
    <t>Infraestructures i cooerd.urbana</t>
  </si>
  <si>
    <t>Saldo minitransf.</t>
  </si>
  <si>
    <t>44400-01-02-03-04-05-06</t>
  </si>
  <si>
    <t>467-469-47-48-46405/06/07</t>
  </si>
  <si>
    <t>Bagursa. Ajuts lloguer</t>
  </si>
  <si>
    <t>450-451-453</t>
  </si>
  <si>
    <t>2014 L</t>
  </si>
  <si>
    <t>2013 P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</si>
  <si>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</si>
  <si>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</si>
  <si>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</si>
  <si>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</si>
  <si>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</si>
  <si>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</si>
  <si>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</si>
  <si>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</si>
  <si>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</si>
  <si>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</si>
  <si>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</si>
  <si>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</si>
  <si>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</si>
  <si>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</si>
  <si>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</si>
  <si>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</si>
  <si>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</si>
  <si>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</si>
  <si>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Rom.tresoreria per despeses generals</t>
  </si>
  <si>
    <t>Generació ingressos</t>
  </si>
  <si>
    <t>Administració General d'Educació</t>
  </si>
  <si>
    <t>Administració General de Cultura</t>
  </si>
  <si>
    <t>Administració General</t>
  </si>
  <si>
    <t>Actuacions de caràcter General</t>
  </si>
  <si>
    <t>Administració General de la Seguretat i Mobilitat</t>
  </si>
  <si>
    <t>Administració General d'Habitatge i Urbanisme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</si>
  <si>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</si>
  <si>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</si>
  <si>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</si>
  <si>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</si>
  <si>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</si>
  <si>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</si>
  <si>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</si>
  <si>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</si>
  <si>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</si>
  <si>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</si>
  <si>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</si>
  <si>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</si>
  <si>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</si>
  <si>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</si>
  <si>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</si>
  <si>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</si>
  <si>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</si>
  <si>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</si>
  <si>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</si>
  <si>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</si>
  <si>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Administració General de Comerç i Turisme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</si>
  <si>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</si>
  <si>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</si>
  <si>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</si>
  <si>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</si>
  <si>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</si>
  <si>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</si>
  <si>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</si>
  <si>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</si>
  <si>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</si>
  <si>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Administració General de Serveis Socials</t>
  </si>
  <si>
    <t>311</t>
  </si>
  <si>
    <t>Funcionament d'escoles bressol municipals</t>
  </si>
  <si>
    <t>329</t>
  </si>
  <si>
    <t>337</t>
  </si>
  <si>
    <t>Societat de la informació</t>
  </si>
  <si>
    <t>943</t>
  </si>
  <si>
    <t>"Temps i qualitat de vida" pertanyia al 924 i ara passa a formar part del 232. S'hauria de comprovar de quina manera afecta a l'obligat i realitzar el corresponent repartiment per a que la comparació sigui el més real possible, tenint en consideració que la variació només suposa un 9% sobre el total del grup 924.</t>
  </si>
  <si>
    <t>2013 (2012P)</t>
  </si>
  <si>
    <t>2014P</t>
  </si>
  <si>
    <t>2015 L</t>
  </si>
  <si>
    <t>Var. 15/14</t>
  </si>
  <si>
    <t>V.15/14</t>
  </si>
  <si>
    <t>Febrer 2015</t>
  </si>
  <si>
    <t>Febrer 2014</t>
  </si>
  <si>
    <t>Anàlisi modificacions de crèdit per capítols Febrer 2015</t>
  </si>
  <si>
    <t>A Febrer</t>
  </si>
  <si>
    <t>Contribucions especials</t>
  </si>
  <si>
    <t>*S/ Nova estructura de programes 2015</t>
  </si>
  <si>
    <t>al 2014 no</t>
  </si>
  <si>
    <t>135 al 2014</t>
  </si>
  <si>
    <t>153 al 2014</t>
  </si>
  <si>
    <t>155+157 al 2014</t>
  </si>
  <si>
    <t>161 al 2014</t>
  </si>
  <si>
    <t xml:space="preserve">al 2014 no  </t>
  </si>
  <si>
    <t>231+233 al 2014</t>
  </si>
  <si>
    <t>313 al 2014</t>
  </si>
  <si>
    <t>322+323 al 2014</t>
  </si>
  <si>
    <t>324 al 2014</t>
  </si>
  <si>
    <t>325 al 2014</t>
  </si>
  <si>
    <t>321 al 2014</t>
  </si>
  <si>
    <t>333+335 al 2014</t>
  </si>
  <si>
    <t>No al 2014</t>
  </si>
  <si>
    <t>942 al 2014</t>
  </si>
  <si>
    <t>161 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</si>
</sst>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</numFmts>
  <fonts count="6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/>
      <diagonal/>
    </border>
  </borders>
  <cellStyleXfs count="262">
    <xf numFmtId="0" fontId="0" fillId="0" borderId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26" fillId="0" borderId="0"/>
    <xf numFmtId="0" fontId="20" fillId="0" borderId="0"/>
    <xf numFmtId="0" fontId="29" fillId="0" borderId="0" applyNumberFormat="0" applyFill="0" applyBorder="0" applyAlignment="0" applyProtection="0"/>
    <xf numFmtId="0" fontId="4" fillId="0" borderId="0"/>
    <xf numFmtId="0" fontId="45" fillId="0" borderId="123" applyNumberFormat="0" applyFill="0" applyAlignment="0" applyProtection="0"/>
    <xf numFmtId="0" fontId="46" fillId="0" borderId="124" applyNumberFormat="0" applyFill="0" applyAlignment="0" applyProtection="0"/>
    <xf numFmtId="0" fontId="5" fillId="0" borderId="125" applyNumberFormat="0" applyFill="0" applyAlignment="0" applyProtection="0"/>
    <xf numFmtId="0" fontId="47" fillId="4" borderId="0" applyNumberFormat="0" applyBorder="0" applyAlignment="0" applyProtection="0"/>
    <xf numFmtId="0" fontId="48" fillId="5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126" applyNumberFormat="0" applyAlignment="0" applyProtection="0"/>
    <xf numFmtId="0" fontId="51" fillId="8" borderId="127" applyNumberFormat="0" applyAlignment="0" applyProtection="0"/>
    <xf numFmtId="0" fontId="52" fillId="8" borderId="126" applyNumberFormat="0" applyAlignment="0" applyProtection="0"/>
    <xf numFmtId="0" fontId="53" fillId="0" borderId="128" applyNumberFormat="0" applyFill="0" applyAlignment="0" applyProtection="0"/>
    <xf numFmtId="0" fontId="6" fillId="9" borderId="129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131" applyNumberFormat="0" applyFill="0" applyAlignment="0" applyProtection="0"/>
    <xf numFmtId="0" fontId="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7" fillId="34" borderId="0" applyNumberFormat="0" applyBorder="0" applyAlignment="0" applyProtection="0"/>
    <xf numFmtId="0" fontId="20" fillId="0" borderId="0"/>
    <xf numFmtId="0" fontId="14" fillId="10" borderId="130" applyNumberFormat="0" applyFont="0" applyAlignment="0" applyProtection="0"/>
    <xf numFmtId="0" fontId="20" fillId="0" borderId="0"/>
    <xf numFmtId="0" fontId="14" fillId="10" borderId="130" applyNumberFormat="0" applyFont="0" applyAlignment="0" applyProtection="0"/>
    <xf numFmtId="0" fontId="14" fillId="10" borderId="130" applyNumberFormat="0" applyFont="0" applyAlignment="0" applyProtection="0"/>
    <xf numFmtId="0" fontId="14" fillId="10" borderId="130" applyNumberFormat="0" applyFont="0" applyAlignment="0" applyProtection="0"/>
    <xf numFmtId="0" fontId="20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30" applyNumberFormat="0" applyFont="0" applyAlignment="0" applyProtection="0"/>
    <xf numFmtId="0" fontId="14" fillId="17" borderId="0" applyNumberFormat="0" applyBorder="0" applyAlignment="0" applyProtection="0"/>
    <xf numFmtId="0" fontId="14" fillId="10" borderId="130" applyNumberFormat="0" applyFont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3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3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30" applyNumberFormat="0" applyFont="0" applyAlignment="0" applyProtection="0"/>
    <xf numFmtId="0" fontId="20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0" borderId="130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6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4" fillId="10" borderId="130" applyNumberFormat="0" applyFont="0" applyAlignment="0" applyProtection="0"/>
    <xf numFmtId="0" fontId="30" fillId="0" borderId="123" applyNumberFormat="0" applyFill="0" applyAlignment="0" applyProtection="0"/>
    <xf numFmtId="0" fontId="31" fillId="0" borderId="124" applyNumberFormat="0" applyFill="0" applyAlignment="0" applyProtection="0"/>
    <xf numFmtId="0" fontId="32" fillId="0" borderId="125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126" applyNumberFormat="0" applyAlignment="0" applyProtection="0"/>
    <xf numFmtId="0" fontId="37" fillId="8" borderId="127" applyNumberFormat="0" applyAlignment="0" applyProtection="0"/>
    <xf numFmtId="0" fontId="38" fillId="8" borderId="126" applyNumberFormat="0" applyAlignment="0" applyProtection="0"/>
    <xf numFmtId="0" fontId="39" fillId="0" borderId="128" applyNumberFormat="0" applyFill="0" applyAlignment="0" applyProtection="0"/>
    <xf numFmtId="0" fontId="40" fillId="9" borderId="129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1" applyNumberFormat="0" applyFill="0" applyAlignment="0" applyProtection="0"/>
    <xf numFmtId="0" fontId="4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4" fillId="34" borderId="0" applyNumberFormat="0" applyBorder="0" applyAlignment="0" applyProtection="0"/>
    <xf numFmtId="0" fontId="3" fillId="0" borderId="0"/>
    <xf numFmtId="0" fontId="20" fillId="0" borderId="0"/>
    <xf numFmtId="0" fontId="3" fillId="10" borderId="130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6" fillId="0" borderId="0"/>
    <xf numFmtId="0" fontId="30" fillId="0" borderId="123" applyNumberFormat="0" applyFill="0" applyAlignment="0" applyProtection="0"/>
    <xf numFmtId="0" fontId="31" fillId="0" borderId="124" applyNumberFormat="0" applyFill="0" applyAlignment="0" applyProtection="0"/>
    <xf numFmtId="0" fontId="32" fillId="0" borderId="125" applyNumberFormat="0" applyFill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126" applyNumberFormat="0" applyAlignment="0" applyProtection="0"/>
    <xf numFmtId="0" fontId="37" fillId="8" borderId="127" applyNumberFormat="0" applyAlignment="0" applyProtection="0"/>
    <xf numFmtId="0" fontId="38" fillId="8" borderId="126" applyNumberFormat="0" applyAlignment="0" applyProtection="0"/>
    <xf numFmtId="0" fontId="39" fillId="0" borderId="128" applyNumberFormat="0" applyFill="0" applyAlignment="0" applyProtection="0"/>
    <xf numFmtId="0" fontId="40" fillId="9" borderId="129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1" applyNumberFormat="0" applyFill="0" applyAlignment="0" applyProtection="0"/>
    <xf numFmtId="0" fontId="4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2" fillId="10" borderId="130" applyNumberFormat="0" applyFont="0" applyAlignment="0" applyProtection="0"/>
    <xf numFmtId="0" fontId="59" fillId="0" borderId="0"/>
    <xf numFmtId="0" fontId="20" fillId="0" borderId="0"/>
    <xf numFmtId="43" fontId="14" fillId="0" borderId="0" applyFont="0" applyFill="0" applyBorder="0" applyAlignment="0" applyProtection="0"/>
    <xf numFmtId="0" fontId="61" fillId="0" borderId="0"/>
    <xf numFmtId="0" fontId="1" fillId="10" borderId="13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1"/>
    <xf numFmtId="0" fontId="8" fillId="0" borderId="0" xfId="1" applyFont="1"/>
    <xf numFmtId="0" fontId="7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164" fontId="10" fillId="0" borderId="0" xfId="0" quotePrefix="1" applyNumberFormat="1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3" fontId="10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3" fontId="10" fillId="0" borderId="10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164" fontId="10" fillId="0" borderId="6" xfId="0" quotePrefix="1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164" fontId="10" fillId="0" borderId="8" xfId="0" quotePrefix="1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164" fontId="10" fillId="0" borderId="10" xfId="0" quotePrefix="1" applyNumberFormat="1" applyFont="1" applyBorder="1" applyAlignment="1">
      <alignment vertical="center"/>
    </xf>
    <xf numFmtId="3" fontId="10" fillId="0" borderId="10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0" fillId="0" borderId="6" xfId="0" quotePrefix="1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64" fontId="10" fillId="0" borderId="8" xfId="0" quotePrefix="1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64" fontId="10" fillId="0" borderId="10" xfId="0" quotePrefix="1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65" fontId="12" fillId="2" borderId="5" xfId="2" applyNumberFormat="1" applyFont="1" applyFill="1" applyBorder="1" applyAlignment="1">
      <alignment horizontal="center" vertical="center" wrapText="1"/>
    </xf>
    <xf numFmtId="165" fontId="12" fillId="2" borderId="0" xfId="2" applyNumberFormat="1" applyFont="1" applyFill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6" fillId="2" borderId="0" xfId="0" applyNumberFormat="1" applyFont="1" applyFill="1" applyAlignment="1">
      <alignment horizontal="center" vertical="center" wrapText="1"/>
    </xf>
    <xf numFmtId="165" fontId="10" fillId="0" borderId="6" xfId="2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5" fillId="0" borderId="0" xfId="0" applyFont="1"/>
    <xf numFmtId="165" fontId="10" fillId="0" borderId="7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0" fillId="0" borderId="9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18" fillId="0" borderId="8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165" fontId="10" fillId="0" borderId="5" xfId="2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3" xfId="0" applyBorder="1" applyAlignment="1">
      <alignment vertical="center"/>
    </xf>
    <xf numFmtId="3" fontId="10" fillId="0" borderId="13" xfId="0" applyNumberFormat="1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3" fontId="10" fillId="0" borderId="15" xfId="0" applyNumberFormat="1" applyFont="1" applyBorder="1" applyAlignment="1">
      <alignment horizontal="right" vertical="center"/>
    </xf>
    <xf numFmtId="165" fontId="10" fillId="0" borderId="14" xfId="2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10" fillId="0" borderId="17" xfId="0" applyNumberFormat="1" applyFont="1" applyBorder="1" applyAlignment="1">
      <alignment horizontal="right" vertical="center"/>
    </xf>
    <xf numFmtId="165" fontId="10" fillId="0" borderId="16" xfId="2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10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0" fillId="0" borderId="20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10" fillId="0" borderId="22" xfId="0" applyNumberFormat="1" applyFont="1" applyBorder="1" applyAlignment="1">
      <alignment horizontal="right" vertical="center"/>
    </xf>
    <xf numFmtId="165" fontId="10" fillId="0" borderId="19" xfId="2" applyNumberFormat="1" applyFont="1" applyBorder="1" applyAlignment="1">
      <alignment horizontal="center" vertical="center"/>
    </xf>
    <xf numFmtId="165" fontId="10" fillId="0" borderId="21" xfId="2" applyNumberFormat="1" applyFont="1" applyBorder="1" applyAlignment="1">
      <alignment horizontal="center" vertical="center"/>
    </xf>
    <xf numFmtId="165" fontId="10" fillId="0" borderId="23" xfId="2" applyNumberFormat="1" applyFont="1" applyBorder="1" applyAlignment="1">
      <alignment horizontal="center" vertical="center"/>
    </xf>
    <xf numFmtId="0" fontId="19" fillId="0" borderId="20" xfId="3" applyBorder="1" applyAlignment="1" applyProtection="1">
      <alignment vertical="center"/>
    </xf>
    <xf numFmtId="0" fontId="20" fillId="3" borderId="15" xfId="0" applyFont="1" applyFill="1" applyBorder="1" applyAlignment="1">
      <alignment vertical="center"/>
    </xf>
    <xf numFmtId="0" fontId="21" fillId="3" borderId="15" xfId="0" applyFont="1" applyFill="1" applyBorder="1" applyAlignment="1">
      <alignment vertical="center"/>
    </xf>
    <xf numFmtId="3" fontId="22" fillId="3" borderId="15" xfId="0" applyNumberFormat="1" applyFont="1" applyFill="1" applyBorder="1" applyAlignment="1">
      <alignment horizontal="right" vertical="center" wrapText="1"/>
    </xf>
    <xf numFmtId="165" fontId="10" fillId="0" borderId="0" xfId="2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0" fillId="0" borderId="26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3" fontId="10" fillId="0" borderId="27" xfId="0" applyNumberFormat="1" applyFont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horizontal="right" vertical="center" wrapText="1"/>
    </xf>
    <xf numFmtId="165" fontId="12" fillId="2" borderId="0" xfId="2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12" fillId="2" borderId="0" xfId="2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0" fillId="0" borderId="30" xfId="0" quotePrefix="1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165" fontId="10" fillId="0" borderId="31" xfId="2" quotePrefix="1" applyNumberFormat="1" applyFont="1" applyBorder="1" applyAlignment="1">
      <alignment horizontal="center" vertical="center"/>
    </xf>
    <xf numFmtId="165" fontId="12" fillId="2" borderId="32" xfId="2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0" fillId="0" borderId="33" xfId="2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3" fontId="12" fillId="2" borderId="3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0" fillId="0" borderId="5" xfId="0" quotePrefix="1" applyNumberFormat="1" applyFont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 wrapText="1"/>
    </xf>
    <xf numFmtId="165" fontId="10" fillId="0" borderId="28" xfId="2" applyNumberFormat="1" applyFont="1" applyBorder="1" applyAlignment="1">
      <alignment horizontal="center" vertical="center"/>
    </xf>
    <xf numFmtId="0" fontId="11" fillId="0" borderId="4" xfId="0" applyFont="1" applyBorder="1" applyAlignment="1"/>
    <xf numFmtId="0" fontId="10" fillId="0" borderId="5" xfId="0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3" fillId="2" borderId="0" xfId="0" applyNumberFormat="1" applyFont="1" applyFill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2" borderId="36" xfId="0" applyNumberFormat="1" applyFont="1" applyFill="1" applyBorder="1" applyAlignment="1">
      <alignment horizontal="right" vertical="center" wrapText="1"/>
    </xf>
    <xf numFmtId="3" fontId="13" fillId="2" borderId="37" xfId="0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/>
    </xf>
    <xf numFmtId="165" fontId="9" fillId="0" borderId="41" xfId="2" applyNumberFormat="1" applyFont="1" applyBorder="1" applyAlignment="1">
      <alignment horizontal="center"/>
    </xf>
    <xf numFmtId="165" fontId="9" fillId="0" borderId="42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9" fillId="0" borderId="0" xfId="2" applyNumberFormat="1" applyFont="1" applyAlignment="1">
      <alignment horizontal="center" vertical="center"/>
    </xf>
    <xf numFmtId="165" fontId="9" fillId="0" borderId="43" xfId="2" applyNumberFormat="1" applyFont="1" applyBorder="1" applyAlignment="1">
      <alignment horizontal="center" vertical="center"/>
    </xf>
    <xf numFmtId="165" fontId="9" fillId="0" borderId="44" xfId="2" applyNumberFormat="1" applyFont="1" applyBorder="1" applyAlignment="1">
      <alignment horizontal="center" vertical="center"/>
    </xf>
    <xf numFmtId="0" fontId="0" fillId="2" borderId="0" xfId="0" applyFill="1"/>
    <xf numFmtId="0" fontId="10" fillId="0" borderId="0" xfId="0" applyFont="1" applyFill="1" applyAlignment="1">
      <alignment horizontal="center"/>
    </xf>
    <xf numFmtId="0" fontId="0" fillId="0" borderId="26" xfId="0" applyFill="1" applyBorder="1" applyAlignment="1">
      <alignment vertical="center"/>
    </xf>
    <xf numFmtId="3" fontId="12" fillId="2" borderId="0" xfId="2" applyNumberFormat="1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horizontal="right" vertical="center"/>
    </xf>
    <xf numFmtId="0" fontId="20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3" fontId="22" fillId="3" borderId="0" xfId="0" applyNumberFormat="1" applyFont="1" applyFill="1" applyBorder="1" applyAlignment="1">
      <alignment horizontal="right" vertical="center" wrapText="1"/>
    </xf>
    <xf numFmtId="165" fontId="22" fillId="3" borderId="5" xfId="2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Border="1" applyAlignment="1"/>
    <xf numFmtId="165" fontId="10" fillId="0" borderId="20" xfId="2" applyNumberFormat="1" applyFont="1" applyBorder="1" applyAlignment="1">
      <alignment horizontal="center" vertical="center"/>
    </xf>
    <xf numFmtId="164" fontId="10" fillId="0" borderId="8" xfId="0" quotePrefix="1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165" fontId="10" fillId="0" borderId="6" xfId="2" applyNumberFormat="1" applyFont="1" applyBorder="1" applyAlignment="1">
      <alignment vertical="center"/>
    </xf>
    <xf numFmtId="165" fontId="10" fillId="0" borderId="10" xfId="2" applyNumberFormat="1" applyFont="1" applyBorder="1" applyAlignment="1">
      <alignment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0" fontId="0" fillId="0" borderId="46" xfId="0" applyBorder="1"/>
    <xf numFmtId="0" fontId="10" fillId="0" borderId="47" xfId="0" quotePrefix="1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165" fontId="10" fillId="0" borderId="48" xfId="2" applyNumberFormat="1" applyFont="1" applyBorder="1" applyAlignment="1">
      <alignment horizontal="center" vertical="center"/>
    </xf>
    <xf numFmtId="165" fontId="10" fillId="0" borderId="49" xfId="2" applyNumberFormat="1" applyFont="1" applyBorder="1" applyAlignment="1">
      <alignment horizontal="center" vertical="center"/>
    </xf>
    <xf numFmtId="165" fontId="10" fillId="0" borderId="50" xfId="2" applyNumberFormat="1" applyFont="1" applyBorder="1" applyAlignment="1">
      <alignment horizontal="center" vertical="center"/>
    </xf>
    <xf numFmtId="165" fontId="12" fillId="2" borderId="47" xfId="2" applyNumberFormat="1" applyFont="1" applyFill="1" applyBorder="1" applyAlignment="1">
      <alignment horizontal="center" vertical="center" wrapText="1"/>
    </xf>
    <xf numFmtId="165" fontId="10" fillId="0" borderId="48" xfId="2" quotePrefix="1" applyNumberFormat="1" applyFont="1" applyBorder="1" applyAlignment="1">
      <alignment horizontal="center" vertical="center"/>
    </xf>
    <xf numFmtId="165" fontId="12" fillId="2" borderId="52" xfId="2" applyNumberFormat="1" applyFont="1" applyFill="1" applyBorder="1" applyAlignment="1">
      <alignment horizontal="center" vertical="center" wrapText="1"/>
    </xf>
    <xf numFmtId="3" fontId="12" fillId="2" borderId="54" xfId="0" applyNumberFormat="1" applyFont="1" applyFill="1" applyBorder="1" applyAlignment="1">
      <alignment horizontal="right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quotePrefix="1" applyFont="1" applyBorder="1" applyAlignment="1">
      <alignment horizontal="center" vertical="center"/>
    </xf>
    <xf numFmtId="3" fontId="10" fillId="0" borderId="56" xfId="0" applyNumberFormat="1" applyFont="1" applyBorder="1" applyAlignment="1">
      <alignment horizontal="right" vertical="center"/>
    </xf>
    <xf numFmtId="3" fontId="10" fillId="0" borderId="58" xfId="0" applyNumberFormat="1" applyFont="1" applyBorder="1" applyAlignment="1">
      <alignment horizontal="right" vertical="center"/>
    </xf>
    <xf numFmtId="3" fontId="10" fillId="0" borderId="60" xfId="0" applyNumberFormat="1" applyFont="1" applyBorder="1" applyAlignment="1">
      <alignment horizontal="right" vertical="center"/>
    </xf>
    <xf numFmtId="3" fontId="12" fillId="2" borderId="41" xfId="0" applyNumberFormat="1" applyFont="1" applyFill="1" applyBorder="1" applyAlignment="1">
      <alignment horizontal="right" vertical="center" wrapText="1"/>
    </xf>
    <xf numFmtId="165" fontId="10" fillId="0" borderId="57" xfId="2" applyNumberFormat="1" applyFont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right" vertical="center" wrapText="1"/>
    </xf>
    <xf numFmtId="3" fontId="12" fillId="2" borderId="63" xfId="0" applyNumberFormat="1" applyFont="1" applyFill="1" applyBorder="1" applyAlignment="1">
      <alignment horizontal="right" vertical="center" wrapText="1"/>
    </xf>
    <xf numFmtId="165" fontId="12" fillId="2" borderId="63" xfId="2" applyNumberFormat="1" applyFont="1" applyFill="1" applyBorder="1" applyAlignment="1">
      <alignment horizontal="right" vertical="center" wrapText="1"/>
    </xf>
    <xf numFmtId="0" fontId="10" fillId="0" borderId="66" xfId="0" applyFont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3" fontId="10" fillId="0" borderId="67" xfId="0" applyNumberFormat="1" applyFont="1" applyBorder="1" applyAlignment="1">
      <alignment horizontal="right" vertical="center"/>
    </xf>
    <xf numFmtId="3" fontId="10" fillId="0" borderId="68" xfId="0" applyNumberFormat="1" applyFont="1" applyBorder="1" applyAlignment="1">
      <alignment horizontal="right" vertical="center"/>
    </xf>
    <xf numFmtId="3" fontId="10" fillId="0" borderId="69" xfId="0" applyNumberFormat="1" applyFont="1" applyBorder="1" applyAlignment="1">
      <alignment horizontal="right" vertical="center"/>
    </xf>
    <xf numFmtId="3" fontId="12" fillId="2" borderId="66" xfId="0" applyNumberFormat="1" applyFont="1" applyFill="1" applyBorder="1" applyAlignment="1">
      <alignment horizontal="right" vertical="center" wrapText="1"/>
    </xf>
    <xf numFmtId="3" fontId="12" fillId="2" borderId="70" xfId="0" applyNumberFormat="1" applyFont="1" applyFill="1" applyBorder="1" applyAlignment="1">
      <alignment horizontal="right" vertical="center" wrapText="1"/>
    </xf>
    <xf numFmtId="0" fontId="17" fillId="0" borderId="65" xfId="0" applyFont="1" applyBorder="1" applyAlignment="1">
      <alignment horizontal="center"/>
    </xf>
    <xf numFmtId="165" fontId="10" fillId="0" borderId="71" xfId="2" applyNumberFormat="1" applyFont="1" applyBorder="1" applyAlignment="1">
      <alignment horizontal="center" vertical="center"/>
    </xf>
    <xf numFmtId="165" fontId="10" fillId="0" borderId="47" xfId="2" applyNumberFormat="1" applyFont="1" applyBorder="1" applyAlignment="1">
      <alignment horizontal="center" vertical="center"/>
    </xf>
    <xf numFmtId="3" fontId="12" fillId="2" borderId="76" xfId="0" applyNumberFormat="1" applyFont="1" applyFill="1" applyBorder="1" applyAlignment="1">
      <alignment horizontal="right" vertical="center" wrapText="1"/>
    </xf>
    <xf numFmtId="3" fontId="10" fillId="0" borderId="77" xfId="0" applyNumberFormat="1" applyFont="1" applyBorder="1" applyAlignment="1">
      <alignment horizontal="right" vertical="center"/>
    </xf>
    <xf numFmtId="3" fontId="10" fillId="0" borderId="56" xfId="0" applyNumberFormat="1" applyFont="1" applyFill="1" applyBorder="1" applyAlignment="1">
      <alignment horizontal="right" vertical="center"/>
    </xf>
    <xf numFmtId="3" fontId="12" fillId="2" borderId="43" xfId="0" applyNumberFormat="1" applyFont="1" applyFill="1" applyBorder="1" applyAlignment="1">
      <alignment horizontal="right" vertical="center" wrapText="1"/>
    </xf>
    <xf numFmtId="165" fontId="12" fillId="2" borderId="42" xfId="2" applyNumberFormat="1" applyFont="1" applyFill="1" applyBorder="1" applyAlignment="1">
      <alignment horizontal="center" vertical="center" wrapText="1"/>
    </xf>
    <xf numFmtId="165" fontId="12" fillId="2" borderId="42" xfId="2" quotePrefix="1" applyNumberFormat="1" applyFont="1" applyFill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right" vertical="center"/>
    </xf>
    <xf numFmtId="165" fontId="10" fillId="0" borderId="42" xfId="2" applyNumberFormat="1" applyFont="1" applyBorder="1" applyAlignment="1">
      <alignment horizontal="center" vertical="center"/>
    </xf>
    <xf numFmtId="165" fontId="12" fillId="2" borderId="64" xfId="2" applyNumberFormat="1" applyFont="1" applyFill="1" applyBorder="1" applyAlignment="1">
      <alignment horizontal="center" vertical="center" wrapText="1"/>
    </xf>
    <xf numFmtId="3" fontId="12" fillId="2" borderId="83" xfId="0" applyNumberFormat="1" applyFont="1" applyFill="1" applyBorder="1" applyAlignment="1">
      <alignment horizontal="right" vertical="center" wrapText="1"/>
    </xf>
    <xf numFmtId="165" fontId="12" fillId="2" borderId="44" xfId="2" applyNumberFormat="1" applyFont="1" applyFill="1" applyBorder="1" applyAlignment="1">
      <alignment horizontal="center" vertical="center" wrapText="1"/>
    </xf>
    <xf numFmtId="3" fontId="10" fillId="0" borderId="66" xfId="0" applyNumberFormat="1" applyFont="1" applyBorder="1" applyAlignment="1">
      <alignment horizontal="right" vertical="center"/>
    </xf>
    <xf numFmtId="3" fontId="10" fillId="0" borderId="84" xfId="0" applyNumberFormat="1" applyFont="1" applyBorder="1" applyAlignment="1">
      <alignment horizontal="right" vertical="center"/>
    </xf>
    <xf numFmtId="165" fontId="10" fillId="0" borderId="59" xfId="2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165" fontId="12" fillId="2" borderId="63" xfId="2" applyNumberFormat="1" applyFont="1" applyFill="1" applyBorder="1" applyAlignment="1">
      <alignment horizontal="center" vertical="center" wrapText="1"/>
    </xf>
    <xf numFmtId="165" fontId="10" fillId="0" borderId="85" xfId="2" applyNumberFormat="1" applyFont="1" applyBorder="1" applyAlignment="1">
      <alignment horizontal="center" vertical="center"/>
    </xf>
    <xf numFmtId="165" fontId="10" fillId="0" borderId="86" xfId="2" applyNumberFormat="1" applyFont="1" applyBorder="1" applyAlignment="1">
      <alignment horizontal="center" vertical="center"/>
    </xf>
    <xf numFmtId="165" fontId="10" fillId="0" borderId="87" xfId="2" applyNumberFormat="1" applyFont="1" applyBorder="1" applyAlignment="1">
      <alignment horizontal="center" vertical="center"/>
    </xf>
    <xf numFmtId="165" fontId="10" fillId="0" borderId="88" xfId="2" applyNumberFormat="1" applyFont="1" applyBorder="1" applyAlignment="1">
      <alignment horizontal="center" vertical="center"/>
    </xf>
    <xf numFmtId="165" fontId="12" fillId="2" borderId="90" xfId="2" applyNumberFormat="1" applyFont="1" applyFill="1" applyBorder="1" applyAlignment="1">
      <alignment horizontal="center" vertical="center" wrapText="1"/>
    </xf>
    <xf numFmtId="165" fontId="12" fillId="2" borderId="91" xfId="2" applyNumberFormat="1" applyFont="1" applyFill="1" applyBorder="1" applyAlignment="1">
      <alignment horizontal="center" vertical="center" wrapText="1"/>
    </xf>
    <xf numFmtId="165" fontId="10" fillId="0" borderId="92" xfId="2" applyNumberFormat="1" applyFont="1" applyBorder="1" applyAlignment="1">
      <alignment horizontal="center" vertical="center"/>
    </xf>
    <xf numFmtId="165" fontId="22" fillId="3" borderId="72" xfId="2" applyNumberFormat="1" applyFont="1" applyFill="1" applyBorder="1" applyAlignment="1">
      <alignment horizontal="center" vertical="center" wrapText="1"/>
    </xf>
    <xf numFmtId="165" fontId="12" fillId="2" borderId="51" xfId="2" applyNumberFormat="1" applyFont="1" applyFill="1" applyBorder="1" applyAlignment="1">
      <alignment horizontal="center" vertical="center" wrapText="1"/>
    </xf>
    <xf numFmtId="3" fontId="10" fillId="0" borderId="93" xfId="0" applyNumberFormat="1" applyFont="1" applyBorder="1" applyAlignment="1">
      <alignment horizontal="right" vertical="center"/>
    </xf>
    <xf numFmtId="3" fontId="10" fillId="0" borderId="94" xfId="0" applyNumberFormat="1" applyFont="1" applyBorder="1" applyAlignment="1">
      <alignment horizontal="right" vertical="center"/>
    </xf>
    <xf numFmtId="3" fontId="10" fillId="0" borderId="95" xfId="0" applyNumberFormat="1" applyFont="1" applyBorder="1" applyAlignment="1">
      <alignment horizontal="right" vertical="center"/>
    </xf>
    <xf numFmtId="3" fontId="10" fillId="0" borderId="96" xfId="0" applyNumberFormat="1" applyFont="1" applyBorder="1" applyAlignment="1">
      <alignment horizontal="right" vertical="center"/>
    </xf>
    <xf numFmtId="3" fontId="12" fillId="2" borderId="97" xfId="0" applyNumberFormat="1" applyFont="1" applyFill="1" applyBorder="1" applyAlignment="1">
      <alignment horizontal="right" vertical="center" wrapText="1"/>
    </xf>
    <xf numFmtId="3" fontId="16" fillId="0" borderId="56" xfId="0" applyNumberFormat="1" applyFont="1" applyFill="1" applyBorder="1" applyAlignment="1">
      <alignment horizontal="right" vertical="center"/>
    </xf>
    <xf numFmtId="3" fontId="10" fillId="0" borderId="100" xfId="0" applyNumberFormat="1" applyFont="1" applyBorder="1" applyAlignment="1">
      <alignment horizontal="right" vertical="center"/>
    </xf>
    <xf numFmtId="3" fontId="10" fillId="0" borderId="102" xfId="0" applyNumberFormat="1" applyFont="1" applyBorder="1" applyAlignment="1">
      <alignment horizontal="right" vertical="center"/>
    </xf>
    <xf numFmtId="3" fontId="10" fillId="0" borderId="104" xfId="0" applyNumberFormat="1" applyFont="1" applyBorder="1" applyAlignment="1">
      <alignment horizontal="right" vertical="center"/>
    </xf>
    <xf numFmtId="3" fontId="10" fillId="0" borderId="106" xfId="0" applyNumberFormat="1" applyFont="1" applyBorder="1" applyAlignment="1">
      <alignment horizontal="right" vertical="center"/>
    </xf>
    <xf numFmtId="3" fontId="22" fillId="3" borderId="66" xfId="0" applyNumberFormat="1" applyFont="1" applyFill="1" applyBorder="1" applyAlignment="1">
      <alignment horizontal="right" vertical="center" wrapText="1"/>
    </xf>
    <xf numFmtId="3" fontId="22" fillId="3" borderId="75" xfId="0" applyNumberFormat="1" applyFont="1" applyFill="1" applyBorder="1" applyAlignment="1">
      <alignment horizontal="right" vertical="center" wrapText="1"/>
    </xf>
    <xf numFmtId="165" fontId="10" fillId="0" borderId="101" xfId="2" applyNumberFormat="1" applyFont="1" applyBorder="1" applyAlignment="1">
      <alignment horizontal="center" vertical="center"/>
    </xf>
    <xf numFmtId="165" fontId="10" fillId="0" borderId="107" xfId="2" applyNumberFormat="1" applyFont="1" applyBorder="1" applyAlignment="1">
      <alignment horizontal="center" vertical="center"/>
    </xf>
    <xf numFmtId="3" fontId="22" fillId="3" borderId="41" xfId="0" applyNumberFormat="1" applyFont="1" applyFill="1" applyBorder="1" applyAlignment="1">
      <alignment horizontal="right" vertical="center" wrapText="1"/>
    </xf>
    <xf numFmtId="3" fontId="22" fillId="3" borderId="78" xfId="0" applyNumberFormat="1" applyFont="1" applyFill="1" applyBorder="1" applyAlignment="1">
      <alignment horizontal="right" vertical="center" wrapText="1"/>
    </xf>
    <xf numFmtId="0" fontId="0" fillId="0" borderId="46" xfId="0" applyBorder="1" applyAlignment="1">
      <alignment horizontal="center"/>
    </xf>
    <xf numFmtId="3" fontId="10" fillId="0" borderId="67" xfId="0" applyNumberFormat="1" applyFont="1" applyBorder="1" applyAlignment="1">
      <alignment vertical="center"/>
    </xf>
    <xf numFmtId="3" fontId="10" fillId="0" borderId="68" xfId="0" applyNumberFormat="1" applyFont="1" applyBorder="1" applyAlignment="1">
      <alignment vertical="center"/>
    </xf>
    <xf numFmtId="3" fontId="10" fillId="0" borderId="69" xfId="0" applyNumberFormat="1" applyFont="1" applyBorder="1" applyAlignment="1">
      <alignment vertical="center"/>
    </xf>
    <xf numFmtId="3" fontId="12" fillId="2" borderId="66" xfId="0" applyNumberFormat="1" applyFont="1" applyFill="1" applyBorder="1" applyAlignment="1">
      <alignment horizontal="center" vertical="center" wrapText="1"/>
    </xf>
    <xf numFmtId="3" fontId="12" fillId="2" borderId="7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3" fontId="12" fillId="2" borderId="54" xfId="0" applyNumberFormat="1" applyFont="1" applyFill="1" applyBorder="1" applyAlignment="1">
      <alignment horizontal="center" vertical="center" wrapText="1"/>
    </xf>
    <xf numFmtId="3" fontId="10" fillId="0" borderId="56" xfId="0" applyNumberFormat="1" applyFont="1" applyBorder="1" applyAlignment="1">
      <alignment vertical="center"/>
    </xf>
    <xf numFmtId="3" fontId="10" fillId="0" borderId="58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2" fillId="2" borderId="41" xfId="0" applyNumberFormat="1" applyFont="1" applyFill="1" applyBorder="1" applyAlignment="1">
      <alignment horizontal="center" vertical="center" wrapText="1"/>
    </xf>
    <xf numFmtId="3" fontId="12" fillId="2" borderId="62" xfId="0" applyNumberFormat="1" applyFont="1" applyFill="1" applyBorder="1" applyAlignment="1">
      <alignment horizontal="center" vertical="center" wrapText="1"/>
    </xf>
    <xf numFmtId="3" fontId="12" fillId="2" borderId="63" xfId="0" applyNumberFormat="1" applyFont="1" applyFill="1" applyBorder="1" applyAlignment="1">
      <alignment horizontal="center" vertical="center" wrapText="1"/>
    </xf>
    <xf numFmtId="165" fontId="10" fillId="0" borderId="108" xfId="2" applyNumberFormat="1" applyFont="1" applyBorder="1" applyAlignment="1">
      <alignment horizontal="center" vertical="center"/>
    </xf>
    <xf numFmtId="165" fontId="10" fillId="0" borderId="109" xfId="2" applyNumberFormat="1" applyFont="1" applyBorder="1" applyAlignment="1">
      <alignment horizontal="center" vertical="center"/>
    </xf>
    <xf numFmtId="165" fontId="10" fillId="0" borderId="109" xfId="2" quotePrefix="1" applyNumberFormat="1" applyFont="1" applyBorder="1" applyAlignment="1">
      <alignment horizontal="center" vertical="center"/>
    </xf>
    <xf numFmtId="165" fontId="10" fillId="0" borderId="110" xfId="2" applyNumberFormat="1" applyFont="1" applyBorder="1" applyAlignment="1">
      <alignment horizontal="center" vertical="center"/>
    </xf>
    <xf numFmtId="165" fontId="12" fillId="2" borderId="73" xfId="2" applyNumberFormat="1" applyFont="1" applyFill="1" applyBorder="1" applyAlignment="1">
      <alignment horizontal="center" vertical="center" wrapText="1"/>
    </xf>
    <xf numFmtId="0" fontId="10" fillId="0" borderId="108" xfId="0" quotePrefix="1" applyFont="1" applyBorder="1" applyAlignment="1">
      <alignment horizontal="center" vertical="center"/>
    </xf>
    <xf numFmtId="0" fontId="10" fillId="0" borderId="110" xfId="0" quotePrefix="1" applyFont="1" applyBorder="1" applyAlignment="1">
      <alignment horizontal="center" vertical="center"/>
    </xf>
    <xf numFmtId="0" fontId="12" fillId="2" borderId="73" xfId="0" quotePrefix="1" applyFont="1" applyFill="1" applyBorder="1" applyAlignment="1">
      <alignment horizontal="center" vertical="center" wrapText="1"/>
    </xf>
    <xf numFmtId="165" fontId="12" fillId="2" borderId="111" xfId="2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 wrapText="1"/>
    </xf>
    <xf numFmtId="165" fontId="10" fillId="0" borderId="108" xfId="2" quotePrefix="1" applyNumberFormat="1" applyFont="1" applyBorder="1" applyAlignment="1">
      <alignment horizontal="center" vertical="center"/>
    </xf>
    <xf numFmtId="165" fontId="12" fillId="2" borderId="73" xfId="2" quotePrefix="1" applyNumberFormat="1" applyFont="1" applyFill="1" applyBorder="1" applyAlignment="1">
      <alignment horizontal="center" vertical="center" wrapText="1"/>
    </xf>
    <xf numFmtId="0" fontId="10" fillId="0" borderId="57" xfId="0" quotePrefix="1" applyFont="1" applyBorder="1" applyAlignment="1">
      <alignment horizontal="center" vertical="center"/>
    </xf>
    <xf numFmtId="0" fontId="10" fillId="0" borderId="61" xfId="0" quotePrefix="1" applyFont="1" applyBorder="1" applyAlignment="1">
      <alignment horizontal="center" vertical="center"/>
    </xf>
    <xf numFmtId="0" fontId="12" fillId="2" borderId="0" xfId="0" quotePrefix="1" applyFont="1" applyFill="1" applyBorder="1" applyAlignment="1">
      <alignment horizontal="center" vertical="center" wrapText="1"/>
    </xf>
    <xf numFmtId="0" fontId="12" fillId="2" borderId="42" xfId="0" quotePrefix="1" applyFont="1" applyFill="1" applyBorder="1" applyAlignment="1">
      <alignment horizontal="center" vertical="center" wrapText="1"/>
    </xf>
    <xf numFmtId="0" fontId="12" fillId="2" borderId="112" xfId="0" quotePrefix="1" applyFont="1" applyFill="1" applyBorder="1" applyAlignment="1">
      <alignment horizontal="center" vertical="center" wrapText="1"/>
    </xf>
    <xf numFmtId="0" fontId="10" fillId="0" borderId="59" xfId="0" quotePrefix="1" applyFont="1" applyBorder="1" applyAlignment="1">
      <alignment horizontal="center" vertical="center"/>
    </xf>
    <xf numFmtId="165" fontId="12" fillId="2" borderId="112" xfId="2" applyNumberFormat="1" applyFont="1" applyFill="1" applyBorder="1" applyAlignment="1">
      <alignment horizontal="center" vertical="center" wrapText="1"/>
    </xf>
    <xf numFmtId="9" fontId="12" fillId="2" borderId="0" xfId="2" applyFont="1" applyFill="1" applyBorder="1" applyAlignment="1">
      <alignment horizontal="center" vertical="center" wrapText="1"/>
    </xf>
    <xf numFmtId="0" fontId="23" fillId="0" borderId="101" xfId="6" applyFont="1" applyBorder="1"/>
    <xf numFmtId="0" fontId="20" fillId="0" borderId="105" xfId="10" applyFont="1" applyBorder="1"/>
    <xf numFmtId="0" fontId="0" fillId="0" borderId="117" xfId="0" applyBorder="1" applyAlignment="1">
      <alignment vertical="center"/>
    </xf>
    <xf numFmtId="3" fontId="10" fillId="0" borderId="116" xfId="0" applyNumberFormat="1" applyFont="1" applyBorder="1" applyAlignment="1">
      <alignment horizontal="right" vertical="center"/>
    </xf>
    <xf numFmtId="3" fontId="10" fillId="0" borderId="117" xfId="0" applyNumberFormat="1" applyFont="1" applyBorder="1" applyAlignment="1">
      <alignment horizontal="right" vertical="center"/>
    </xf>
    <xf numFmtId="165" fontId="10" fillId="0" borderId="119" xfId="2" applyNumberFormat="1" applyFont="1" applyBorder="1" applyAlignment="1">
      <alignment horizontal="center" vertical="center"/>
    </xf>
    <xf numFmtId="0" fontId="20" fillId="0" borderId="18" xfId="4" applyBorder="1"/>
    <xf numFmtId="3" fontId="10" fillId="0" borderId="98" xfId="0" applyNumberFormat="1" applyFont="1" applyFill="1" applyBorder="1" applyAlignment="1">
      <alignment horizontal="right" vertical="center"/>
    </xf>
    <xf numFmtId="165" fontId="10" fillId="0" borderId="18" xfId="2" quotePrefix="1" applyNumberFormat="1" applyFont="1" applyBorder="1" applyAlignment="1">
      <alignment horizontal="center" vertical="center"/>
    </xf>
    <xf numFmtId="165" fontId="10" fillId="0" borderId="99" xfId="2" quotePrefix="1" applyNumberFormat="1" applyFont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10" fillId="0" borderId="100" xfId="0" applyNumberFormat="1" applyFont="1" applyFill="1" applyBorder="1" applyAlignment="1">
      <alignment horizontal="right" vertical="center"/>
    </xf>
    <xf numFmtId="165" fontId="16" fillId="0" borderId="27" xfId="2" applyNumberFormat="1" applyFont="1" applyFill="1" applyBorder="1" applyAlignment="1">
      <alignment horizontal="center" vertical="center" wrapText="1"/>
    </xf>
    <xf numFmtId="165" fontId="10" fillId="0" borderId="26" xfId="2" applyNumberFormat="1" applyFont="1" applyBorder="1" applyAlignment="1">
      <alignment horizontal="center" vertical="center"/>
    </xf>
    <xf numFmtId="165" fontId="10" fillId="0" borderId="50" xfId="2" quotePrefix="1" applyNumberFormat="1" applyFont="1" applyBorder="1" applyAlignment="1">
      <alignment horizontal="center" vertical="center"/>
    </xf>
    <xf numFmtId="165" fontId="12" fillId="2" borderId="47" xfId="2" quotePrefix="1" applyNumberFormat="1" applyFont="1" applyFill="1" applyBorder="1" applyAlignment="1">
      <alignment horizontal="center" vertical="center" wrapText="1"/>
    </xf>
    <xf numFmtId="165" fontId="22" fillId="3" borderId="89" xfId="2" applyNumberFormat="1" applyFont="1" applyFill="1" applyBorder="1" applyAlignment="1">
      <alignment horizontal="center" vertical="center" wrapText="1"/>
    </xf>
    <xf numFmtId="165" fontId="10" fillId="0" borderId="31" xfId="2" applyNumberFormat="1" applyFont="1" applyBorder="1" applyAlignment="1">
      <alignment horizontal="center" vertical="center"/>
    </xf>
    <xf numFmtId="165" fontId="10" fillId="0" borderId="73" xfId="2" applyNumberFormat="1" applyFont="1" applyBorder="1" applyAlignment="1">
      <alignment horizontal="center" vertical="center"/>
    </xf>
    <xf numFmtId="165" fontId="12" fillId="2" borderId="38" xfId="2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3" fontId="10" fillId="0" borderId="120" xfId="2" applyNumberFormat="1" applyFont="1" applyBorder="1" applyAlignment="1">
      <alignment horizontal="right" vertical="center"/>
    </xf>
    <xf numFmtId="0" fontId="6" fillId="2" borderId="66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164" fontId="10" fillId="0" borderId="0" xfId="0" quotePrefix="1" applyNumberFormat="1" applyFont="1" applyBorder="1" applyAlignment="1">
      <alignment horizontal="center" vertical="center"/>
    </xf>
    <xf numFmtId="3" fontId="12" fillId="2" borderId="70" xfId="0" applyNumberFormat="1" applyFont="1" applyFill="1" applyBorder="1" applyAlignment="1">
      <alignment vertical="center" wrapText="1"/>
    </xf>
    <xf numFmtId="165" fontId="10" fillId="0" borderId="5" xfId="2" applyNumberFormat="1" applyFont="1" applyBorder="1" applyAlignment="1">
      <alignment horizontal="center" vertical="center" shrinkToFit="1"/>
    </xf>
    <xf numFmtId="164" fontId="10" fillId="0" borderId="8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17" fillId="0" borderId="39" xfId="0" applyNumberFormat="1" applyFont="1" applyBorder="1" applyAlignment="1">
      <alignment horizontal="center"/>
    </xf>
    <xf numFmtId="165" fontId="10" fillId="0" borderId="41" xfId="0" applyNumberFormat="1" applyFont="1" applyBorder="1" applyAlignment="1">
      <alignment horizontal="center" vertical="center"/>
    </xf>
    <xf numFmtId="165" fontId="6" fillId="2" borderId="41" xfId="0" applyNumberFormat="1" applyFont="1" applyFill="1" applyBorder="1" applyAlignment="1">
      <alignment horizontal="center" vertical="center" wrapText="1"/>
    </xf>
    <xf numFmtId="165" fontId="12" fillId="2" borderId="41" xfId="0" applyNumberFormat="1" applyFont="1" applyFill="1" applyBorder="1" applyAlignment="1">
      <alignment horizontal="center" vertical="center" wrapText="1"/>
    </xf>
    <xf numFmtId="165" fontId="10" fillId="0" borderId="56" xfId="0" applyNumberFormat="1" applyFont="1" applyBorder="1" applyAlignment="1">
      <alignment horizontal="center" vertical="center"/>
    </xf>
    <xf numFmtId="165" fontId="10" fillId="0" borderId="60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2" fillId="2" borderId="0" xfId="0" applyNumberFormat="1" applyFont="1" applyFill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2" fillId="2" borderId="63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5" fillId="0" borderId="65" xfId="0" quotePrefix="1" applyFont="1" applyBorder="1" applyAlignment="1">
      <alignment horizontal="center"/>
    </xf>
    <xf numFmtId="0" fontId="10" fillId="0" borderId="122" xfId="0" quotePrefix="1" applyFont="1" applyBorder="1" applyAlignment="1">
      <alignment horizontal="center" vertical="center"/>
    </xf>
    <xf numFmtId="165" fontId="10" fillId="0" borderId="0" xfId="2" quotePrefix="1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4" fontId="20" fillId="0" borderId="0" xfId="0" applyNumberFormat="1" applyFont="1" applyFill="1" applyAlignment="1">
      <alignment vertical="center"/>
    </xf>
    <xf numFmtId="3" fontId="20" fillId="0" borderId="0" xfId="0" applyNumberFormat="1" applyFont="1" applyFill="1"/>
    <xf numFmtId="4" fontId="10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12" fillId="2" borderId="42" xfId="2" applyFont="1" applyFill="1" applyBorder="1" applyAlignment="1">
      <alignment horizontal="center" vertical="center" wrapText="1"/>
    </xf>
    <xf numFmtId="165" fontId="10" fillId="0" borderId="105" xfId="2" quotePrefix="1" applyNumberFormat="1" applyFont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165" fontId="10" fillId="0" borderId="8" xfId="2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16" fillId="0" borderId="67" xfId="0" applyNumberFormat="1" applyFont="1" applyBorder="1" applyAlignment="1">
      <alignment horizontal="right" vertical="center"/>
    </xf>
    <xf numFmtId="3" fontId="16" fillId="0" borderId="56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165" fontId="16" fillId="0" borderId="48" xfId="2" applyNumberFormat="1" applyFont="1" applyBorder="1" applyAlignment="1">
      <alignment horizontal="center" vertical="center"/>
    </xf>
    <xf numFmtId="0" fontId="16" fillId="0" borderId="0" xfId="0" quotePrefix="1" applyFont="1" applyAlignment="1">
      <alignment horizontal="center"/>
    </xf>
    <xf numFmtId="0" fontId="20" fillId="0" borderId="0" xfId="0" applyFont="1"/>
    <xf numFmtId="0" fontId="20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20" fillId="0" borderId="10" xfId="0" applyFont="1" applyBorder="1" applyAlignment="1">
      <alignment vertical="center"/>
    </xf>
    <xf numFmtId="3" fontId="16" fillId="0" borderId="69" xfId="0" applyNumberFormat="1" applyFont="1" applyBorder="1" applyAlignment="1">
      <alignment horizontal="right" vertical="center"/>
    </xf>
    <xf numFmtId="3" fontId="16" fillId="0" borderId="60" xfId="0" applyNumberFormat="1" applyFont="1" applyBorder="1" applyAlignment="1">
      <alignment horizontal="right" vertical="center"/>
    </xf>
    <xf numFmtId="165" fontId="16" fillId="0" borderId="49" xfId="2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right" vertical="center"/>
    </xf>
    <xf numFmtId="165" fontId="16" fillId="0" borderId="50" xfId="2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3" fontId="16" fillId="0" borderId="13" xfId="0" applyNumberFormat="1" applyFont="1" applyBorder="1" applyAlignment="1">
      <alignment horizontal="right" vertical="center"/>
    </xf>
    <xf numFmtId="165" fontId="16" fillId="0" borderId="71" xfId="2" applyNumberFormat="1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3" fontId="16" fillId="0" borderId="75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165" fontId="16" fillId="0" borderId="80" xfId="2" applyNumberFormat="1" applyFont="1" applyBorder="1" applyAlignment="1">
      <alignment horizontal="center" vertical="center"/>
    </xf>
    <xf numFmtId="165" fontId="16" fillId="0" borderId="72" xfId="2" quotePrefix="1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3" fontId="16" fillId="0" borderId="67" xfId="0" applyNumberFormat="1" applyFont="1" applyFill="1" applyBorder="1" applyAlignment="1">
      <alignment horizontal="right" vertical="center"/>
    </xf>
    <xf numFmtId="0" fontId="20" fillId="0" borderId="114" xfId="5" applyFont="1" applyFill="1" applyBorder="1"/>
    <xf numFmtId="165" fontId="16" fillId="0" borderId="6" xfId="2" applyNumberFormat="1" applyFont="1" applyFill="1" applyBorder="1" applyAlignment="1">
      <alignment horizontal="center" vertical="center"/>
    </xf>
    <xf numFmtId="165" fontId="16" fillId="0" borderId="57" xfId="2" quotePrefix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" fontId="16" fillId="0" borderId="117" xfId="0" applyNumberFormat="1" applyFont="1" applyFill="1" applyBorder="1" applyAlignment="1">
      <alignment horizontal="right" vertical="center"/>
    </xf>
    <xf numFmtId="165" fontId="16" fillId="0" borderId="117" xfId="2" applyNumberFormat="1" applyFont="1" applyFill="1" applyBorder="1" applyAlignment="1">
      <alignment horizontal="center" vertical="center"/>
    </xf>
    <xf numFmtId="165" fontId="16" fillId="0" borderId="114" xfId="2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/>
    </xf>
    <xf numFmtId="165" fontId="16" fillId="0" borderId="47" xfId="2" applyNumberFormat="1" applyFont="1" applyBorder="1" applyAlignment="1">
      <alignment horizontal="center" vertical="center"/>
    </xf>
    <xf numFmtId="165" fontId="16" fillId="0" borderId="86" xfId="2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165" fontId="16" fillId="0" borderId="57" xfId="2" applyNumberFormat="1" applyFont="1" applyFill="1" applyBorder="1" applyAlignment="1">
      <alignment horizontal="center" vertical="center"/>
    </xf>
    <xf numFmtId="0" fontId="16" fillId="0" borderId="0" xfId="0" quotePrefix="1" applyFont="1" applyFill="1" applyAlignment="1">
      <alignment horizontal="center" shrinkToFit="1"/>
    </xf>
    <xf numFmtId="165" fontId="16" fillId="0" borderId="6" xfId="2" quotePrefix="1" applyNumberFormat="1" applyFont="1" applyFill="1" applyBorder="1" applyAlignment="1">
      <alignment horizontal="center" vertical="center"/>
    </xf>
    <xf numFmtId="0" fontId="16" fillId="0" borderId="0" xfId="0" quotePrefix="1" applyFont="1" applyFill="1" applyAlignment="1">
      <alignment horizontal="center"/>
    </xf>
    <xf numFmtId="0" fontId="20" fillId="0" borderId="17" xfId="0" applyFont="1" applyBorder="1" applyAlignment="1">
      <alignment vertical="center"/>
    </xf>
    <xf numFmtId="3" fontId="16" fillId="0" borderId="17" xfId="0" applyNumberFormat="1" applyFont="1" applyFill="1" applyBorder="1" applyAlignment="1">
      <alignment horizontal="right" vertical="center"/>
    </xf>
    <xf numFmtId="165" fontId="16" fillId="0" borderId="42" xfId="2" applyNumberFormat="1" applyFont="1" applyFill="1" applyBorder="1" applyAlignment="1">
      <alignment horizontal="center" vertical="center"/>
    </xf>
    <xf numFmtId="165" fontId="16" fillId="0" borderId="80" xfId="2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3" fontId="16" fillId="0" borderId="93" xfId="0" applyNumberFormat="1" applyFont="1" applyBorder="1" applyAlignment="1">
      <alignment horizontal="right" vertical="center"/>
    </xf>
    <xf numFmtId="3" fontId="16" fillId="0" borderId="98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165" fontId="16" fillId="0" borderId="99" xfId="2" applyNumberFormat="1" applyFont="1" applyBorder="1" applyAlignment="1">
      <alignment horizontal="center" vertical="center"/>
    </xf>
    <xf numFmtId="165" fontId="16" fillId="0" borderId="48" xfId="2" quotePrefix="1" applyNumberFormat="1" applyFont="1" applyFill="1" applyBorder="1" applyAlignment="1">
      <alignment horizontal="center" vertical="center"/>
    </xf>
    <xf numFmtId="165" fontId="16" fillId="0" borderId="101" xfId="2" applyNumberFormat="1" applyFont="1" applyBorder="1" applyAlignment="1">
      <alignment horizontal="center" vertical="center"/>
    </xf>
    <xf numFmtId="3" fontId="16" fillId="0" borderId="84" xfId="0" applyNumberFormat="1" applyFont="1" applyBorder="1" applyAlignment="1">
      <alignment horizontal="right" vertical="center"/>
    </xf>
    <xf numFmtId="3" fontId="16" fillId="0" borderId="81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5" fontId="16" fillId="0" borderId="72" xfId="2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 vertical="center"/>
    </xf>
    <xf numFmtId="165" fontId="16" fillId="0" borderId="8" xfId="2" applyNumberFormat="1" applyFont="1" applyBorder="1" applyAlignment="1">
      <alignment horizontal="center" vertical="center"/>
    </xf>
    <xf numFmtId="165" fontId="16" fillId="0" borderId="7" xfId="2" applyNumberFormat="1" applyFont="1" applyFill="1" applyBorder="1" applyAlignment="1">
      <alignment horizontal="center" vertical="center"/>
    </xf>
    <xf numFmtId="165" fontId="10" fillId="0" borderId="11" xfId="2" applyNumberFormat="1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7" fillId="0" borderId="0" xfId="0" quotePrefix="1" applyFont="1" applyAlignment="1">
      <alignment horizontal="center"/>
    </xf>
    <xf numFmtId="0" fontId="58" fillId="0" borderId="0" xfId="0" applyFont="1" applyAlignment="1">
      <alignment horizontal="center"/>
    </xf>
    <xf numFmtId="3" fontId="10" fillId="0" borderId="8" xfId="0" applyNumberFormat="1" applyFont="1" applyBorder="1" applyAlignment="1">
      <alignment horizontal="center" vertical="center"/>
    </xf>
    <xf numFmtId="165" fontId="12" fillId="2" borderId="133" xfId="2" applyNumberFormat="1" applyFont="1" applyFill="1" applyBorder="1" applyAlignment="1">
      <alignment horizontal="center" vertical="center" wrapText="1"/>
    </xf>
    <xf numFmtId="3" fontId="12" fillId="2" borderId="134" xfId="0" applyNumberFormat="1" applyFont="1" applyFill="1" applyBorder="1" applyAlignment="1">
      <alignment horizontal="right" vertical="center" wrapText="1"/>
    </xf>
    <xf numFmtId="165" fontId="12" fillId="2" borderId="135" xfId="2" applyNumberFormat="1" applyFont="1" applyFill="1" applyBorder="1" applyAlignment="1">
      <alignment horizontal="center" vertical="center" wrapText="1"/>
    </xf>
    <xf numFmtId="3" fontId="12" fillId="2" borderId="0" xfId="2" applyNumberFormat="1" applyFont="1" applyFill="1" applyBorder="1" applyAlignment="1">
      <alignment horizontal="right" vertical="center" wrapText="1"/>
    </xf>
    <xf numFmtId="3" fontId="12" fillId="2" borderId="132" xfId="0" applyNumberFormat="1" applyFont="1" applyFill="1" applyBorder="1" applyAlignment="1">
      <alignment horizontal="center" vertical="center" wrapText="1"/>
    </xf>
    <xf numFmtId="165" fontId="16" fillId="0" borderId="7" xfId="2" applyNumberFormat="1" applyFont="1" applyBorder="1" applyAlignment="1">
      <alignment horizontal="center" vertical="center"/>
    </xf>
    <xf numFmtId="165" fontId="16" fillId="0" borderId="19" xfId="2" applyNumberFormat="1" applyFont="1" applyBorder="1" applyAlignment="1">
      <alignment horizontal="center" vertical="center"/>
    </xf>
    <xf numFmtId="3" fontId="10" fillId="0" borderId="0" xfId="0" applyNumberFormat="1" applyFont="1" applyBorder="1"/>
    <xf numFmtId="3" fontId="10" fillId="0" borderId="0" xfId="0" applyNumberFormat="1" applyFont="1"/>
    <xf numFmtId="0" fontId="20" fillId="0" borderId="0" xfId="0" applyFont="1" applyBorder="1"/>
    <xf numFmtId="3" fontId="16" fillId="35" borderId="77" xfId="0" applyNumberFormat="1" applyFont="1" applyFill="1" applyBorder="1" applyAlignment="1">
      <alignment horizontal="right" vertical="center"/>
    </xf>
    <xf numFmtId="0" fontId="0" fillId="0" borderId="0" xfId="0" applyBorder="1"/>
    <xf numFmtId="3" fontId="16" fillId="0" borderId="13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center" vertical="center"/>
    </xf>
    <xf numFmtId="165" fontId="10" fillId="0" borderId="118" xfId="2" applyNumberFormat="1" applyFont="1" applyBorder="1" applyAlignment="1">
      <alignment horizontal="center" vertical="center"/>
    </xf>
    <xf numFmtId="165" fontId="10" fillId="0" borderId="25" xfId="2" applyNumberFormat="1" applyFont="1" applyBorder="1" applyAlignment="1">
      <alignment horizontal="center" vertical="center"/>
    </xf>
    <xf numFmtId="43" fontId="0" fillId="0" borderId="0" xfId="247" applyFont="1"/>
    <xf numFmtId="0" fontId="20" fillId="0" borderId="141" xfId="0" applyFont="1" applyBorder="1" applyAlignment="1">
      <alignment vertical="center"/>
    </xf>
    <xf numFmtId="0" fontId="20" fillId="0" borderId="142" xfId="0" applyFont="1" applyBorder="1" applyAlignment="1">
      <alignment vertical="center"/>
    </xf>
    <xf numFmtId="0" fontId="22" fillId="0" borderId="0" xfId="0" applyFont="1" applyFill="1" applyAlignment="1">
      <alignment horizontal="center"/>
    </xf>
    <xf numFmtId="165" fontId="60" fillId="2" borderId="56" xfId="0" applyNumberFormat="1" applyFont="1" applyFill="1" applyBorder="1" applyAlignment="1">
      <alignment horizontal="center" vertical="center"/>
    </xf>
    <xf numFmtId="165" fontId="16" fillId="0" borderId="13" xfId="2" quotePrefix="1" applyNumberFormat="1" applyFont="1" applyBorder="1" applyAlignment="1">
      <alignment horizontal="center" vertical="center"/>
    </xf>
    <xf numFmtId="165" fontId="10" fillId="0" borderId="57" xfId="2" quotePrefix="1" applyNumberFormat="1" applyFont="1" applyBorder="1" applyAlignment="1">
      <alignment horizontal="center" vertical="center"/>
    </xf>
    <xf numFmtId="43" fontId="10" fillId="0" borderId="0" xfId="247" applyFont="1"/>
    <xf numFmtId="166" fontId="10" fillId="0" borderId="0" xfId="247" applyNumberFormat="1" applyFont="1"/>
    <xf numFmtId="167" fontId="10" fillId="0" borderId="0" xfId="247" applyNumberFormat="1" applyFont="1"/>
    <xf numFmtId="167" fontId="10" fillId="0" borderId="0" xfId="0" applyNumberFormat="1" applyFont="1"/>
    <xf numFmtId="165" fontId="10" fillId="0" borderId="12" xfId="2" applyNumberFormat="1" applyFont="1" applyBorder="1" applyAlignment="1">
      <alignment horizontal="center" vertical="center"/>
    </xf>
    <xf numFmtId="43" fontId="0" fillId="0" borderId="0" xfId="0" applyNumberFormat="1"/>
    <xf numFmtId="9" fontId="10" fillId="0" borderId="27" xfId="2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5" fontId="16" fillId="35" borderId="47" xfId="2" applyNumberFormat="1" applyFont="1" applyFill="1" applyBorder="1" applyAlignment="1">
      <alignment horizontal="center" vertical="center" wrapText="1"/>
    </xf>
    <xf numFmtId="167" fontId="12" fillId="2" borderId="63" xfId="247" applyNumberFormat="1" applyFont="1" applyFill="1" applyBorder="1" applyAlignment="1">
      <alignment horizontal="right" vertical="center" wrapText="1"/>
    </xf>
    <xf numFmtId="165" fontId="60" fillId="2" borderId="69" xfId="0" applyNumberFormat="1" applyFont="1" applyFill="1" applyBorder="1" applyAlignment="1">
      <alignment horizontal="center" vertical="center"/>
    </xf>
    <xf numFmtId="165" fontId="16" fillId="0" borderId="57" xfId="2" quotePrefix="1" applyNumberFormat="1" applyFont="1" applyBorder="1" applyAlignment="1">
      <alignment horizontal="center" vertical="center"/>
    </xf>
    <xf numFmtId="165" fontId="16" fillId="0" borderId="80" xfId="2" quotePrefix="1" applyNumberFormat="1" applyFont="1" applyBorder="1" applyAlignment="1">
      <alignment horizontal="center" vertical="center"/>
    </xf>
    <xf numFmtId="165" fontId="16" fillId="0" borderId="42" xfId="2" quotePrefix="1" applyNumberFormat="1" applyFont="1" applyBorder="1" applyAlignment="1">
      <alignment horizontal="center" vertical="center"/>
    </xf>
    <xf numFmtId="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165" fontId="10" fillId="0" borderId="58" xfId="0" applyNumberFormat="1" applyFont="1" applyBorder="1" applyAlignment="1">
      <alignment horizontal="center" vertical="center"/>
    </xf>
    <xf numFmtId="165" fontId="10" fillId="0" borderId="69" xfId="0" applyNumberFormat="1" applyFont="1" applyBorder="1" applyAlignment="1">
      <alignment horizontal="center" vertical="center"/>
    </xf>
    <xf numFmtId="165" fontId="16" fillId="0" borderId="15" xfId="2" quotePrefix="1" applyNumberFormat="1" applyFont="1" applyBorder="1" applyAlignment="1">
      <alignment horizontal="center" vertical="center"/>
    </xf>
    <xf numFmtId="165" fontId="10" fillId="0" borderId="27" xfId="2" quotePrefix="1" applyNumberFormat="1" applyFont="1" applyBorder="1" applyAlignment="1">
      <alignment horizontal="center" vertical="center"/>
    </xf>
    <xf numFmtId="165" fontId="22" fillId="0" borderId="89" xfId="2" applyNumberFormat="1" applyFont="1" applyFill="1" applyBorder="1" applyAlignment="1">
      <alignment horizontal="center" vertical="center" wrapText="1"/>
    </xf>
    <xf numFmtId="165" fontId="22" fillId="0" borderId="47" xfId="2" applyNumberFormat="1" applyFont="1" applyFill="1" applyBorder="1" applyAlignment="1">
      <alignment horizontal="center" vertical="center" wrapText="1"/>
    </xf>
    <xf numFmtId="0" fontId="11" fillId="0" borderId="144" xfId="0" applyFont="1" applyBorder="1" applyAlignment="1">
      <alignment horizontal="center"/>
    </xf>
    <xf numFmtId="0" fontId="10" fillId="0" borderId="145" xfId="0" quotePrefix="1" applyFont="1" applyBorder="1" applyAlignment="1">
      <alignment horizontal="center" vertical="center"/>
    </xf>
    <xf numFmtId="165" fontId="16" fillId="0" borderId="146" xfId="2" quotePrefix="1" applyNumberFormat="1" applyFont="1" applyBorder="1" applyAlignment="1">
      <alignment horizontal="center" vertical="center"/>
    </xf>
    <xf numFmtId="165" fontId="12" fillId="2" borderId="61" xfId="2" applyNumberFormat="1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/>
    </xf>
    <xf numFmtId="165" fontId="16" fillId="0" borderId="57" xfId="2" applyNumberFormat="1" applyFont="1" applyBorder="1" applyAlignment="1">
      <alignment horizontal="center" vertical="center"/>
    </xf>
    <xf numFmtId="165" fontId="16" fillId="0" borderId="61" xfId="2" quotePrefix="1" applyNumberFormat="1" applyFont="1" applyBorder="1" applyAlignment="1">
      <alignment horizontal="center" vertical="center"/>
    </xf>
    <xf numFmtId="165" fontId="16" fillId="0" borderId="79" xfId="2" applyNumberFormat="1" applyFont="1" applyBorder="1" applyAlignment="1">
      <alignment horizontal="center" vertical="center"/>
    </xf>
    <xf numFmtId="9" fontId="16" fillId="0" borderId="57" xfId="2" applyNumberFormat="1" applyFont="1" applyBorder="1" applyAlignment="1">
      <alignment horizontal="center" vertical="center"/>
    </xf>
    <xf numFmtId="165" fontId="16" fillId="0" borderId="42" xfId="2" quotePrefix="1" applyNumberFormat="1" applyFont="1" applyFill="1" applyBorder="1" applyAlignment="1">
      <alignment horizontal="center" vertical="center"/>
    </xf>
    <xf numFmtId="165" fontId="16" fillId="0" borderId="147" xfId="2" quotePrefix="1" applyNumberFormat="1" applyFont="1" applyBorder="1" applyAlignment="1">
      <alignment horizontal="center" vertical="center"/>
    </xf>
    <xf numFmtId="165" fontId="16" fillId="0" borderId="82" xfId="2" applyNumberFormat="1" applyFont="1" applyFill="1" applyBorder="1" applyAlignment="1">
      <alignment horizontal="center" vertical="center"/>
    </xf>
    <xf numFmtId="165" fontId="16" fillId="0" borderId="6" xfId="2" applyNumberFormat="1" applyFont="1" applyBorder="1" applyAlignment="1">
      <alignment horizontal="center" vertical="center"/>
    </xf>
    <xf numFmtId="165" fontId="16" fillId="0" borderId="10" xfId="2" applyNumberFormat="1" applyFont="1" applyBorder="1" applyAlignment="1">
      <alignment horizontal="center" vertical="center"/>
    </xf>
    <xf numFmtId="165" fontId="16" fillId="0" borderId="6" xfId="2" quotePrefix="1" applyNumberFormat="1" applyFont="1" applyBorder="1" applyAlignment="1">
      <alignment horizontal="center" vertical="center"/>
    </xf>
    <xf numFmtId="165" fontId="16" fillId="0" borderId="0" xfId="2" quotePrefix="1" applyNumberFormat="1" applyFont="1" applyFill="1" applyBorder="1" applyAlignment="1">
      <alignment horizontal="center" vertical="center"/>
    </xf>
    <xf numFmtId="165" fontId="12" fillId="2" borderId="83" xfId="2" applyNumberFormat="1" applyFont="1" applyFill="1" applyBorder="1" applyAlignment="1">
      <alignment horizontal="center" vertical="center" wrapText="1"/>
    </xf>
    <xf numFmtId="165" fontId="16" fillId="0" borderId="17" xfId="2" applyNumberFormat="1" applyFont="1" applyFill="1" applyBorder="1" applyAlignment="1">
      <alignment horizontal="center" vertical="center"/>
    </xf>
    <xf numFmtId="165" fontId="16" fillId="0" borderId="18" xfId="2" quotePrefix="1" applyNumberFormat="1" applyFont="1" applyBorder="1" applyAlignment="1">
      <alignment horizontal="center" vertical="center"/>
    </xf>
    <xf numFmtId="165" fontId="16" fillId="0" borderId="17" xfId="2" quotePrefix="1" applyNumberFormat="1" applyFont="1" applyBorder="1" applyAlignment="1">
      <alignment horizontal="center" vertical="center"/>
    </xf>
    <xf numFmtId="165" fontId="16" fillId="0" borderId="0" xfId="2" quotePrefix="1" applyNumberFormat="1" applyFont="1" applyBorder="1" applyAlignment="1">
      <alignment horizontal="center" vertical="center"/>
    </xf>
    <xf numFmtId="165" fontId="56" fillId="0" borderId="0" xfId="2" applyNumberFormat="1" applyFont="1" applyFill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/>
    </xf>
    <xf numFmtId="165" fontId="16" fillId="0" borderId="137" xfId="2" applyNumberFormat="1" applyFont="1" applyBorder="1" applyAlignment="1">
      <alignment horizontal="center" vertical="center"/>
    </xf>
    <xf numFmtId="165" fontId="16" fillId="0" borderId="138" xfId="2" applyNumberFormat="1" applyFont="1" applyBorder="1" applyAlignment="1">
      <alignment horizontal="center" vertical="center"/>
    </xf>
    <xf numFmtId="165" fontId="16" fillId="0" borderId="139" xfId="2" applyNumberFormat="1" applyFont="1" applyBorder="1" applyAlignment="1">
      <alignment horizontal="center" vertical="center"/>
    </xf>
    <xf numFmtId="165" fontId="16" fillId="0" borderId="85" xfId="2" applyNumberFormat="1" applyFont="1" applyBorder="1" applyAlignment="1">
      <alignment horizontal="center" vertical="center"/>
    </xf>
    <xf numFmtId="3" fontId="10" fillId="0" borderId="81" xfId="0" applyNumberFormat="1" applyFont="1" applyFill="1" applyBorder="1" applyAlignment="1">
      <alignment horizontal="right" vertical="center"/>
    </xf>
    <xf numFmtId="165" fontId="10" fillId="0" borderId="10" xfId="2" applyNumberFormat="1" applyFont="1" applyBorder="1" applyAlignment="1">
      <alignment horizontal="center" vertical="center"/>
    </xf>
    <xf numFmtId="43" fontId="10" fillId="0" borderId="0" xfId="247" applyFont="1" applyAlignment="1">
      <alignment horizontal="center"/>
    </xf>
    <xf numFmtId="165" fontId="10" fillId="0" borderId="61" xfId="2" applyNumberFormat="1" applyFont="1" applyBorder="1" applyAlignment="1">
      <alignment horizontal="center"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20" xfId="0" applyNumberFormat="1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16" fillId="0" borderId="148" xfId="0" applyNumberFormat="1" applyFont="1" applyBorder="1" applyAlignment="1">
      <alignment horizontal="right" vertical="center"/>
    </xf>
    <xf numFmtId="3" fontId="10" fillId="0" borderId="149" xfId="0" applyNumberFormat="1" applyFont="1" applyBorder="1" applyAlignment="1">
      <alignment horizontal="right" vertical="center"/>
    </xf>
    <xf numFmtId="3" fontId="10" fillId="0" borderId="150" xfId="0" applyNumberFormat="1" applyFont="1" applyBorder="1" applyAlignment="1">
      <alignment horizontal="right" vertical="center"/>
    </xf>
    <xf numFmtId="3" fontId="10" fillId="0" borderId="74" xfId="0" applyNumberFormat="1" applyFont="1" applyBorder="1" applyAlignment="1">
      <alignment horizontal="right" vertical="center"/>
    </xf>
    <xf numFmtId="3" fontId="10" fillId="0" borderId="102" xfId="0" applyNumberFormat="1" applyFont="1" applyFill="1" applyBorder="1" applyAlignment="1">
      <alignment horizontal="right" vertical="center"/>
    </xf>
    <xf numFmtId="3" fontId="10" fillId="0" borderId="78" xfId="0" applyNumberFormat="1" applyFont="1" applyBorder="1" applyAlignment="1">
      <alignment horizontal="right" vertical="center"/>
    </xf>
    <xf numFmtId="3" fontId="10" fillId="0" borderId="151" xfId="0" applyNumberFormat="1" applyFont="1" applyBorder="1" applyAlignment="1">
      <alignment horizontal="right" vertical="center"/>
    </xf>
    <xf numFmtId="3" fontId="10" fillId="0" borderId="115" xfId="0" applyNumberFormat="1" applyFont="1" applyBorder="1" applyAlignment="1">
      <alignment vertical="center"/>
    </xf>
    <xf numFmtId="3" fontId="10" fillId="0" borderId="117" xfId="0" applyNumberFormat="1" applyFont="1" applyBorder="1" applyAlignment="1">
      <alignment vertical="center"/>
    </xf>
    <xf numFmtId="3" fontId="16" fillId="0" borderId="10" xfId="0" applyNumberFormat="1" applyFont="1" applyFill="1" applyBorder="1" applyAlignment="1">
      <alignment horizontal="right" vertical="center"/>
    </xf>
    <xf numFmtId="3" fontId="16" fillId="0" borderId="13" xfId="0" applyNumberFormat="1" applyFont="1" applyBorder="1"/>
    <xf numFmtId="0" fontId="20" fillId="0" borderId="17" xfId="0" applyFont="1" applyFill="1" applyBorder="1" applyAlignment="1">
      <alignment vertical="center"/>
    </xf>
    <xf numFmtId="165" fontId="16" fillId="0" borderId="113" xfId="2" applyNumberFormat="1" applyFont="1" applyBorder="1" applyAlignment="1">
      <alignment horizontal="center" vertical="center"/>
    </xf>
    <xf numFmtId="165" fontId="16" fillId="0" borderId="12" xfId="2" applyNumberFormat="1" applyFont="1" applyBorder="1" applyAlignment="1">
      <alignment horizontal="center" vertical="center"/>
    </xf>
    <xf numFmtId="165" fontId="16" fillId="0" borderId="14" xfId="2" applyNumberFormat="1" applyFont="1" applyBorder="1" applyAlignment="1">
      <alignment horizontal="center" vertical="center"/>
    </xf>
    <xf numFmtId="165" fontId="16" fillId="0" borderId="5" xfId="2" applyNumberFormat="1" applyFont="1" applyBorder="1" applyAlignment="1">
      <alignment horizontal="center" vertical="center"/>
    </xf>
    <xf numFmtId="165" fontId="16" fillId="0" borderId="16" xfId="2" applyNumberFormat="1" applyFont="1" applyBorder="1" applyAlignment="1">
      <alignment horizontal="center" vertical="center"/>
    </xf>
    <xf numFmtId="165" fontId="10" fillId="0" borderId="82" xfId="2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5" fontId="12" fillId="2" borderId="62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165" fontId="12" fillId="2" borderId="54" xfId="2" applyNumberFormat="1" applyFont="1" applyFill="1" applyBorder="1" applyAlignment="1">
      <alignment horizontal="center" vertical="center" wrapText="1"/>
    </xf>
    <xf numFmtId="0" fontId="0" fillId="0" borderId="121" xfId="0" applyBorder="1" applyAlignment="1">
      <alignment horizontal="center"/>
    </xf>
    <xf numFmtId="165" fontId="10" fillId="0" borderId="117" xfId="2" applyNumberFormat="1" applyFont="1" applyBorder="1" applyAlignment="1">
      <alignment horizontal="center" vertical="center"/>
    </xf>
    <xf numFmtId="165" fontId="10" fillId="0" borderId="22" xfId="2" applyNumberFormat="1" applyFont="1" applyBorder="1" applyAlignment="1">
      <alignment horizontal="center" vertical="center"/>
    </xf>
    <xf numFmtId="165" fontId="10" fillId="0" borderId="27" xfId="2" applyNumberFormat="1" applyFont="1" applyBorder="1" applyAlignment="1">
      <alignment horizontal="center" vertical="center"/>
    </xf>
    <xf numFmtId="165" fontId="10" fillId="0" borderId="18" xfId="2" applyNumberFormat="1" applyFont="1" applyBorder="1" applyAlignment="1">
      <alignment horizontal="center" vertical="center"/>
    </xf>
    <xf numFmtId="165" fontId="10" fillId="0" borderId="6" xfId="2" quotePrefix="1" applyNumberFormat="1" applyFont="1" applyBorder="1" applyAlignment="1">
      <alignment horizontal="center" vertical="center"/>
    </xf>
    <xf numFmtId="165" fontId="10" fillId="0" borderId="8" xfId="2" quotePrefix="1" applyNumberFormat="1" applyFont="1" applyBorder="1" applyAlignment="1">
      <alignment horizontal="center" vertical="center"/>
    </xf>
    <xf numFmtId="165" fontId="10" fillId="0" borderId="17" xfId="2" quotePrefix="1" applyNumberFormat="1" applyFont="1" applyBorder="1" applyAlignment="1">
      <alignment horizontal="center" vertical="center"/>
    </xf>
    <xf numFmtId="165" fontId="10" fillId="0" borderId="20" xfId="2" quotePrefix="1" applyNumberFormat="1" applyFont="1" applyBorder="1" applyAlignment="1">
      <alignment horizontal="center" vertical="center"/>
    </xf>
    <xf numFmtId="165" fontId="10" fillId="0" borderId="22" xfId="2" quotePrefix="1" applyNumberFormat="1" applyFont="1" applyBorder="1" applyAlignment="1">
      <alignment horizontal="center" vertical="center"/>
    </xf>
    <xf numFmtId="165" fontId="10" fillId="0" borderId="13" xfId="2" quotePrefix="1" applyNumberFormat="1" applyFont="1" applyBorder="1" applyAlignment="1">
      <alignment horizontal="center" vertical="center"/>
    </xf>
    <xf numFmtId="165" fontId="22" fillId="3" borderId="26" xfId="2" applyNumberFormat="1" applyFont="1" applyFill="1" applyBorder="1" applyAlignment="1">
      <alignment horizontal="center" vertical="center" wrapText="1"/>
    </xf>
    <xf numFmtId="165" fontId="10" fillId="0" borderId="15" xfId="2" quotePrefix="1" applyNumberFormat="1" applyFont="1" applyBorder="1" applyAlignment="1">
      <alignment horizontal="center" vertical="center"/>
    </xf>
    <xf numFmtId="165" fontId="22" fillId="3" borderId="15" xfId="2" applyNumberFormat="1" applyFont="1" applyFill="1" applyBorder="1" applyAlignment="1">
      <alignment horizontal="center" vertical="center" wrapText="1"/>
    </xf>
    <xf numFmtId="167" fontId="10" fillId="0" borderId="0" xfId="247" applyNumberFormat="1" applyFont="1" applyAlignment="1">
      <alignment horizontal="center"/>
    </xf>
    <xf numFmtId="165" fontId="22" fillId="3" borderId="0" xfId="2" applyNumberFormat="1" applyFont="1" applyFill="1" applyBorder="1" applyAlignment="1">
      <alignment horizontal="center" vertical="center" wrapText="1"/>
    </xf>
    <xf numFmtId="165" fontId="10" fillId="0" borderId="114" xfId="2" applyNumberFormat="1" applyFont="1" applyBorder="1" applyAlignment="1">
      <alignment horizontal="center" vertical="center"/>
    </xf>
    <xf numFmtId="165" fontId="10" fillId="0" borderId="79" xfId="2" applyNumberFormat="1" applyFont="1" applyBorder="1" applyAlignment="1">
      <alignment horizontal="center" vertical="center"/>
    </xf>
    <xf numFmtId="165" fontId="10" fillId="0" borderId="99" xfId="2" applyNumberFormat="1" applyFont="1" applyBorder="1" applyAlignment="1">
      <alignment horizontal="center" vertical="center"/>
    </xf>
    <xf numFmtId="165" fontId="10" fillId="0" borderId="103" xfId="2" applyNumberFormat="1" applyFont="1" applyBorder="1" applyAlignment="1">
      <alignment horizontal="center" vertical="center"/>
    </xf>
    <xf numFmtId="165" fontId="10" fillId="0" borderId="105" xfId="2" applyNumberFormat="1" applyFont="1" applyBorder="1" applyAlignment="1">
      <alignment horizontal="center" vertical="center"/>
    </xf>
    <xf numFmtId="165" fontId="10" fillId="0" borderId="59" xfId="2" quotePrefix="1" applyNumberFormat="1" applyFont="1" applyBorder="1" applyAlignment="1">
      <alignment horizontal="center" vertical="center"/>
    </xf>
    <xf numFmtId="165" fontId="10" fillId="0" borderId="82" xfId="2" quotePrefix="1" applyNumberFormat="1" applyFont="1" applyBorder="1" applyAlignment="1">
      <alignment horizontal="center" vertical="center"/>
    </xf>
    <xf numFmtId="165" fontId="10" fillId="0" borderId="101" xfId="2" quotePrefix="1" applyNumberFormat="1" applyFont="1" applyBorder="1" applyAlignment="1">
      <alignment horizontal="center" vertical="center"/>
    </xf>
    <xf numFmtId="165" fontId="10" fillId="0" borderId="103" xfId="2" quotePrefix="1" applyNumberFormat="1" applyFont="1" applyBorder="1" applyAlignment="1">
      <alignment horizontal="center" vertical="center"/>
    </xf>
    <xf numFmtId="165" fontId="22" fillId="3" borderId="42" xfId="2" applyNumberFormat="1" applyFont="1" applyFill="1" applyBorder="1" applyAlignment="1">
      <alignment horizontal="center" vertical="center" wrapText="1"/>
    </xf>
    <xf numFmtId="165" fontId="10" fillId="0" borderId="80" xfId="2" quotePrefix="1" applyNumberFormat="1" applyFont="1" applyBorder="1" applyAlignment="1">
      <alignment horizontal="center" vertical="center"/>
    </xf>
    <xf numFmtId="165" fontId="10" fillId="0" borderId="79" xfId="2" quotePrefix="1" applyNumberFormat="1" applyFont="1" applyBorder="1" applyAlignment="1">
      <alignment horizontal="center" vertical="center"/>
    </xf>
    <xf numFmtId="165" fontId="22" fillId="3" borderId="80" xfId="2" applyNumberFormat="1" applyFont="1" applyFill="1" applyBorder="1" applyAlignment="1">
      <alignment horizontal="center" vertical="center" wrapText="1"/>
    </xf>
    <xf numFmtId="165" fontId="10" fillId="0" borderId="24" xfId="2" applyNumberFormat="1" applyFont="1" applyBorder="1" applyAlignment="1">
      <alignment horizontal="center" vertical="center"/>
    </xf>
    <xf numFmtId="165" fontId="10" fillId="0" borderId="85" xfId="2" applyNumberFormat="1" applyFont="1" applyFill="1" applyBorder="1" applyAlignment="1">
      <alignment horizontal="center" vertical="center"/>
    </xf>
    <xf numFmtId="165" fontId="10" fillId="0" borderId="59" xfId="2" applyNumberFormat="1" applyFont="1" applyFill="1" applyBorder="1" applyAlignment="1">
      <alignment horizontal="center" vertical="center"/>
    </xf>
    <xf numFmtId="166" fontId="10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12" fillId="2" borderId="54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0" fillId="0" borderId="152" xfId="2" applyNumberFormat="1" applyFont="1" applyBorder="1" applyAlignment="1">
      <alignment horizontal="center" vertical="center"/>
    </xf>
    <xf numFmtId="0" fontId="0" fillId="0" borderId="27" xfId="0" applyBorder="1"/>
    <xf numFmtId="3" fontId="16" fillId="0" borderId="74" xfId="0" applyNumberFormat="1" applyFont="1" applyFill="1" applyBorder="1" applyAlignment="1">
      <alignment horizontal="right" vertical="center"/>
    </xf>
    <xf numFmtId="3" fontId="16" fillId="0" borderId="77" xfId="0" applyNumberFormat="1" applyFont="1" applyFill="1" applyBorder="1" applyAlignment="1">
      <alignment horizontal="right" vertical="center"/>
    </xf>
    <xf numFmtId="165" fontId="16" fillId="0" borderId="153" xfId="2" applyNumberFormat="1" applyFont="1" applyBorder="1" applyAlignment="1">
      <alignment horizontal="center" vertical="center"/>
    </xf>
    <xf numFmtId="0" fontId="20" fillId="0" borderId="101" xfId="10" applyFont="1" applyBorder="1"/>
    <xf numFmtId="3" fontId="10" fillId="0" borderId="8" xfId="0" applyNumberFormat="1" applyFont="1" applyBorder="1" applyAlignment="1">
      <alignment horizontal="center"/>
    </xf>
    <xf numFmtId="3" fontId="10" fillId="0" borderId="8" xfId="0" applyNumberFormat="1" applyFont="1" applyBorder="1"/>
    <xf numFmtId="165" fontId="10" fillId="0" borderId="153" xfId="2" applyNumberFormat="1" applyFont="1" applyBorder="1" applyAlignment="1">
      <alignment horizontal="center" vertical="center"/>
    </xf>
    <xf numFmtId="165" fontId="10" fillId="0" borderId="71" xfId="2" quotePrefix="1" applyNumberFormat="1" applyFont="1" applyBorder="1" applyAlignment="1">
      <alignment horizontal="center" vertical="center"/>
    </xf>
    <xf numFmtId="165" fontId="10" fillId="0" borderId="47" xfId="2" quotePrefix="1" applyNumberFormat="1" applyFont="1" applyBorder="1" applyAlignment="1">
      <alignment horizontal="center" vertical="center"/>
    </xf>
    <xf numFmtId="165" fontId="10" fillId="0" borderId="154" xfId="2" applyNumberFormat="1" applyFont="1" applyBorder="1" applyAlignment="1">
      <alignment horizontal="center" vertical="center"/>
    </xf>
    <xf numFmtId="165" fontId="10" fillId="0" borderId="89" xfId="2" quotePrefix="1" applyNumberFormat="1" applyFont="1" applyBorder="1" applyAlignment="1">
      <alignment horizontal="center" vertical="center"/>
    </xf>
    <xf numFmtId="165" fontId="10" fillId="0" borderId="49" xfId="2" quotePrefix="1" applyNumberFormat="1" applyFont="1" applyBorder="1" applyAlignment="1">
      <alignment horizontal="center" vertical="center"/>
    </xf>
    <xf numFmtId="165" fontId="10" fillId="0" borderId="89" xfId="2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100" xfId="0" applyNumberFormat="1" applyFont="1" applyBorder="1" applyAlignment="1">
      <alignment vertical="center"/>
    </xf>
    <xf numFmtId="3" fontId="10" fillId="0" borderId="106" xfId="0" applyNumberFormat="1" applyFont="1" applyBorder="1" applyAlignment="1">
      <alignment vertical="center"/>
    </xf>
    <xf numFmtId="165" fontId="16" fillId="0" borderId="82" xfId="2" quotePrefix="1" applyNumberFormat="1" applyFont="1" applyBorder="1" applyAlignment="1">
      <alignment horizontal="center" vertical="center"/>
    </xf>
    <xf numFmtId="9" fontId="16" fillId="0" borderId="88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53" xfId="0" quotePrefix="1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17" fontId="15" fillId="0" borderId="39" xfId="0" quotePrefix="1" applyNumberFormat="1" applyFont="1" applyFill="1" applyBorder="1" applyAlignment="1">
      <alignment horizontal="center"/>
    </xf>
    <xf numFmtId="17" fontId="15" fillId="0" borderId="55" xfId="0" quotePrefix="1" applyNumberFormat="1" applyFont="1" applyFill="1" applyBorder="1" applyAlignment="1">
      <alignment horizontal="center"/>
    </xf>
    <xf numFmtId="0" fontId="15" fillId="0" borderId="55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1" fillId="0" borderId="53" xfId="0" quotePrefix="1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17" fontId="11" fillId="0" borderId="53" xfId="0" quotePrefix="1" applyNumberFormat="1" applyFont="1" applyBorder="1" applyAlignment="1">
      <alignment horizontal="center"/>
    </xf>
    <xf numFmtId="17" fontId="15" fillId="0" borderId="39" xfId="0" quotePrefix="1" applyNumberFormat="1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39" xfId="0" quotePrefix="1" applyFont="1" applyBorder="1" applyAlignment="1">
      <alignment horizontal="center"/>
    </xf>
    <xf numFmtId="0" fontId="11" fillId="0" borderId="35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9" xfId="0" quotePrefix="1" applyFont="1" applyBorder="1" applyAlignment="1">
      <alignment horizontal="center"/>
    </xf>
    <xf numFmtId="0" fontId="0" fillId="0" borderId="55" xfId="0" applyBorder="1" applyAlignment="1"/>
    <xf numFmtId="0" fontId="15" fillId="0" borderId="39" xfId="0" quotePrefix="1" applyNumberFormat="1" applyFont="1" applyBorder="1" applyAlignment="1">
      <alignment horizontal="center"/>
    </xf>
    <xf numFmtId="0" fontId="15" fillId="0" borderId="55" xfId="0" applyNumberFormat="1" applyFont="1" applyBorder="1" applyAlignment="1">
      <alignment horizontal="center"/>
    </xf>
    <xf numFmtId="0" fontId="15" fillId="0" borderId="40" xfId="0" applyNumberFormat="1" applyFont="1" applyBorder="1" applyAlignment="1">
      <alignment horizontal="center"/>
    </xf>
    <xf numFmtId="17" fontId="11" fillId="0" borderId="39" xfId="0" quotePrefix="1" applyNumberFormat="1" applyFont="1" applyBorder="1" applyAlignment="1">
      <alignment horizontal="center"/>
    </xf>
    <xf numFmtId="0" fontId="11" fillId="0" borderId="143" xfId="0" applyFont="1" applyBorder="1" applyAlignment="1">
      <alignment horizontal="center"/>
    </xf>
    <xf numFmtId="0" fontId="25" fillId="0" borderId="0" xfId="1" applyFont="1" applyAlignment="1">
      <alignment wrapText="1"/>
    </xf>
    <xf numFmtId="0" fontId="10" fillId="0" borderId="42" xfId="0" applyFont="1" applyBorder="1"/>
    <xf numFmtId="0" fontId="8" fillId="0" borderId="0" xfId="1" applyFont="1" applyAlignment="1">
      <alignment wrapText="1"/>
    </xf>
    <xf numFmtId="0" fontId="0" fillId="0" borderId="0" xfId="0" applyAlignment="1">
      <alignment wrapText="1"/>
    </xf>
    <xf numFmtId="4" fontId="63" fillId="0" borderId="0" xfId="0" applyNumberFormat="1" applyFont="1" applyFill="1"/>
    <xf numFmtId="0" fontId="63" fillId="0" borderId="0" xfId="0" applyFont="1" applyFill="1"/>
    <xf numFmtId="0" fontId="54" fillId="0" borderId="0" xfId="0" applyFont="1"/>
    <xf numFmtId="0" fontId="9" fillId="0" borderId="8" xfId="0" applyFont="1" applyFill="1" applyBorder="1" applyAlignment="1">
      <alignment vertical="center"/>
    </xf>
    <xf numFmtId="0" fontId="20" fillId="0" borderId="140" xfId="0" applyFont="1" applyFill="1" applyBorder="1" applyAlignment="1">
      <alignment vertical="center"/>
    </xf>
  </cellXfs>
  <cellStyles count="262">
    <cellStyle name="20% - Èmfasi1" xfId="220" builtinId="30" customBuiltin="1"/>
    <cellStyle name="20% - Èmfasi1 2" xfId="166"/>
    <cellStyle name="20% - Èmfasi1 2 2" xfId="192"/>
    <cellStyle name="20% - Èmfasi1 3" xfId="30"/>
    <cellStyle name="20% - Èmfasi1 4" xfId="250"/>
    <cellStyle name="20% - Èmfasi2" xfId="224" builtinId="34" customBuiltin="1"/>
    <cellStyle name="20% - Èmfasi2 2" xfId="170"/>
    <cellStyle name="20% - Èmfasi2 2 2" xfId="194"/>
    <cellStyle name="20% - Èmfasi2 3" xfId="34"/>
    <cellStyle name="20% - Èmfasi2 4" xfId="252"/>
    <cellStyle name="20% - Èmfasi3" xfId="228" builtinId="38" customBuiltin="1"/>
    <cellStyle name="20% - Èmfasi3 2" xfId="174"/>
    <cellStyle name="20% - Èmfasi3 2 2" xfId="196"/>
    <cellStyle name="20% - Èmfasi3 3" xfId="38"/>
    <cellStyle name="20% - Èmfasi3 4" xfId="254"/>
    <cellStyle name="20% - Èmfasi4" xfId="232" builtinId="42" customBuiltin="1"/>
    <cellStyle name="20% - Èmfasi4 2" xfId="178"/>
    <cellStyle name="20% - Èmfasi4 2 2" xfId="198"/>
    <cellStyle name="20% - Èmfasi4 3" xfId="42"/>
    <cellStyle name="20% - Èmfasi4 4" xfId="256"/>
    <cellStyle name="20% - Èmfasi5" xfId="236" builtinId="46" customBuiltin="1"/>
    <cellStyle name="20% - Èmfasi5 2" xfId="182"/>
    <cellStyle name="20% - Èmfasi5 2 2" xfId="200"/>
    <cellStyle name="20% - Èmfasi5 3" xfId="46"/>
    <cellStyle name="20% - Èmfasi5 4" xfId="258"/>
    <cellStyle name="20% - Èmfasi6" xfId="240" builtinId="50" customBuiltin="1"/>
    <cellStyle name="20% - Èmfasi6 2" xfId="186"/>
    <cellStyle name="20% - Èmfasi6 2 2" xfId="202"/>
    <cellStyle name="20% - Èmfasi6 3" xfId="50"/>
    <cellStyle name="20% - Èmfasi6 4" xfId="260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2" xfId="167"/>
    <cellStyle name="40% - Èmfasi1 2 2" xfId="193"/>
    <cellStyle name="40% - Èmfasi1 3" xfId="31"/>
    <cellStyle name="40% - Èmfasi1 4" xfId="251"/>
    <cellStyle name="40% - Èmfasi2" xfId="225" builtinId="35" customBuiltin="1"/>
    <cellStyle name="40% - Èmfasi2 2" xfId="171"/>
    <cellStyle name="40% - Èmfasi2 2 2" xfId="195"/>
    <cellStyle name="40% - Èmfasi2 3" xfId="35"/>
    <cellStyle name="40% - Èmfasi2 4" xfId="253"/>
    <cellStyle name="40% - Èmfasi3" xfId="229" builtinId="39" customBuiltin="1"/>
    <cellStyle name="40% - Èmfasi3 2" xfId="175"/>
    <cellStyle name="40% - Èmfasi3 2 2" xfId="197"/>
    <cellStyle name="40% - Èmfasi3 3" xfId="39"/>
    <cellStyle name="40% - Èmfasi3 4" xfId="255"/>
    <cellStyle name="40% - Èmfasi4" xfId="233" builtinId="43" customBuiltin="1"/>
    <cellStyle name="40% - Èmfasi4 2" xfId="179"/>
    <cellStyle name="40% - Èmfasi4 2 2" xfId="199"/>
    <cellStyle name="40% - Èmfasi4 3" xfId="43"/>
    <cellStyle name="40% - Èmfasi4 4" xfId="257"/>
    <cellStyle name="40% - Èmfasi5" xfId="237" builtinId="47" customBuiltin="1"/>
    <cellStyle name="40% - Èmfasi5 2" xfId="183"/>
    <cellStyle name="40% - Èmfasi5 2 2" xfId="201"/>
    <cellStyle name="40% - Èmfasi5 3" xfId="47"/>
    <cellStyle name="40% - Èmfasi5 4" xfId="259"/>
    <cellStyle name="40% - Èmfasi6" xfId="241" builtinId="51" customBuiltin="1"/>
    <cellStyle name="40% - Èmfasi6 2" xfId="187"/>
    <cellStyle name="40% - Èmfasi6 2 2" xfId="203"/>
    <cellStyle name="40% - Èmfasi6 3" xfId="51"/>
    <cellStyle name="40% - Èmfasi6 4" xfId="261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3" xfId="10"/>
    <cellStyle name="Normal 14" xfId="246"/>
    <cellStyle name="Normal 2" xfId="11"/>
    <cellStyle name="Normal 2 2" xfId="53"/>
    <cellStyle name="Normal 3" xfId="12"/>
    <cellStyle name="Normal 3 2" xfId="245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2" xfId="149"/>
    <cellStyle name="Nota 3" xfId="191"/>
    <cellStyle name="Nota 4" xfId="244"/>
    <cellStyle name="Nota 5" xfId="249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Grau execució despeses Febrer</a:t>
            </a:r>
          </a:p>
          <a:p>
            <a:pPr>
              <a:defRPr sz="1050"/>
            </a:pPr>
            <a:endParaRPr lang="en-US" sz="1050"/>
          </a:p>
          <a:p>
            <a:pPr>
              <a:defRPr sz="1050"/>
            </a:pPr>
            <a:endParaRPr lang="en-US" sz="1050"/>
          </a:p>
        </c:rich>
      </c:tx>
      <c:layout>
        <c:manualLayout>
          <c:xMode val="edge"/>
          <c:yMode val="edge"/>
          <c:x val="0.298867187056164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98379747986049"/>
          <c:y val="8.0200501253132814E-2"/>
          <c:w val="0.84601030330265758"/>
          <c:h val="0.62336826317762917"/>
        </c:manualLayout>
      </c:layout>
      <c:lineChart>
        <c:grouping val="standard"/>
        <c:varyColors val="0"/>
        <c:ser>
          <c:idx val="1"/>
          <c:order val="0"/>
          <c:tx>
            <c:strRef>
              <c:f>DCap!$B$10</c:f>
              <c:strCache>
                <c:ptCount val="1"/>
                <c:pt idx="0">
                  <c:v>Operacions corrents</c:v>
                </c:pt>
              </c:strCache>
            </c:strRef>
          </c:tx>
          <c:dLbls>
            <c:dLbl>
              <c:idx val="0"/>
              <c:layout>
                <c:manualLayout>
                  <c:x val="-0.11408392132801581"/>
                  <c:y val="1.5626467744163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36503391621502E-3"/>
                  <c:y val="-4.423657569119649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0.126</c:v>
                </c:pt>
                <c:pt idx="1">
                  <c:v>0.11939662966126011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DCap!$B$13</c:f>
              <c:strCache>
                <c:ptCount val="1"/>
                <c:pt idx="0">
                  <c:v>Operacions de capital</c:v>
                </c:pt>
              </c:strCache>
            </c:strRef>
          </c:tx>
          <c:dLbls>
            <c:dLbl>
              <c:idx val="0"/>
              <c:layout>
                <c:manualLayout>
                  <c:x val="-9.0916362727386346E-2"/>
                  <c:y val="4.42326288161357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933621933621934E-2"/>
                  <c:y val="3.9511376867365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(DCap!$O$13,DCap!$M$13)</c:f>
              <c:numCache>
                <c:formatCode>0.0%</c:formatCode>
                <c:ptCount val="2"/>
                <c:pt idx="0">
                  <c:v>3.2000000000000001E-2</c:v>
                </c:pt>
                <c:pt idx="1">
                  <c:v>9.612386573810966E-2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DCap!$B$16</c:f>
              <c:strCache>
                <c:ptCount val="1"/>
                <c:pt idx="0">
                  <c:v>Operacions financeres</c:v>
                </c:pt>
              </c:strCache>
            </c:strRef>
          </c:tx>
          <c:dLbls>
            <c:dLbl>
              <c:idx val="0"/>
              <c:layout>
                <c:manualLayout>
                  <c:x val="-0.10678210678210678"/>
                  <c:y val="-3.9468750616699228E-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7722330163275043E-3"/>
                  <c:y val="-1.0025062656641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0.42099999999999999</c:v>
                </c:pt>
                <c:pt idx="1">
                  <c:v>0.64692021886306861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DCap!$B$17</c:f>
              <c:strCache>
                <c:ptCount val="1"/>
                <c:pt idx="0">
                  <c:v>Despeses Totals</c:v>
                </c:pt>
              </c:strCache>
            </c:strRef>
          </c:tx>
          <c:dLbls>
            <c:dLbl>
              <c:idx val="0"/>
              <c:layout>
                <c:manualLayout>
                  <c:x val="-8.9639476883571378E-2"/>
                  <c:y val="-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261410505504995E-2"/>
                  <c:y val="-3.5088113985751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0.13900000000000001</c:v>
                </c:pt>
                <c:pt idx="1">
                  <c:v>0.15338702542299895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8278784"/>
        <c:axId val="478280320"/>
      </c:lineChart>
      <c:catAx>
        <c:axId val="4782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ca-ES"/>
          </a:p>
        </c:txPr>
        <c:crossAx val="478280320"/>
        <c:crosses val="autoZero"/>
        <c:auto val="1"/>
        <c:lblAlgn val="ctr"/>
        <c:lblOffset val="100"/>
        <c:noMultiLvlLbl val="0"/>
      </c:catAx>
      <c:valAx>
        <c:axId val="4782803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ca-ES"/>
          </a:p>
        </c:txPr>
        <c:crossAx val="47827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Grau execució ingressos a Febrer</a:t>
            </a:r>
          </a:p>
          <a:p>
            <a:pPr>
              <a:defRPr sz="1050"/>
            </a:pPr>
            <a:endParaRPr lang="en-US" sz="1050"/>
          </a:p>
        </c:rich>
      </c:tx>
      <c:layout>
        <c:manualLayout>
          <c:xMode val="edge"/>
          <c:yMode val="edge"/>
          <c:x val="0.326228138310564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59604468046179"/>
          <c:y val="0.13032581453634084"/>
          <c:w val="0.84601030330265758"/>
          <c:h val="0.62336826317762917"/>
        </c:manualLayout>
      </c:layout>
      <c:lineChart>
        <c:grouping val="standard"/>
        <c:varyColors val="0"/>
        <c:ser>
          <c:idx val="1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dLbls>
            <c:dLbl>
              <c:idx val="0"/>
              <c:layout>
                <c:manualLayout>
                  <c:x val="-8.9052224371373306E-2"/>
                  <c:y val="-1.4448720225761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682785299806576E-2"/>
                  <c:y val="-2.9486708898229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0.20457331760245454</c:v>
                </c:pt>
                <c:pt idx="1">
                  <c:v>0.2166433824947338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dLbls>
            <c:dLbl>
              <c:idx val="0"/>
              <c:layout>
                <c:manualLayout>
                  <c:x val="-8.6473243068987751E-2"/>
                  <c:y val="1.0613147040830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668600902643456E-3"/>
                  <c:y val="1.0613147040830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1.5901577482688918E-3</c:v>
                </c:pt>
                <c:pt idx="1">
                  <c:v>3.8686448611057302E-3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dLbls>
            <c:dLbl>
              <c:idx val="0"/>
              <c:layout>
                <c:manualLayout>
                  <c:x val="-7.2211476466795613E-2"/>
                  <c:y val="-4.511357132989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421663442940041E-2"/>
                  <c:y val="5.0124523908195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1.0138502311904665E-3</c:v>
                </c:pt>
                <c:pt idx="1">
                  <c:v>1.8644530771540076E-3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dLbls>
            <c:dLbl>
              <c:idx val="0"/>
              <c:layout>
                <c:manualLayout>
                  <c:x val="-4.5209542230818828E-2"/>
                  <c:y val="4.5700866339076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449265650304352E-3"/>
                  <c:y val="1.5626467744163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(DCap!$I$39,DCap!$K$39)</c:f>
              <c:numCache>
                <c:formatCode>General</c:formatCode>
                <c:ptCount val="2"/>
              </c:numCache>
            </c:numRef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0.18395546935080223</c:v>
                </c:pt>
                <c:pt idx="1">
                  <c:v>0.2001564450958089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9251072"/>
        <c:axId val="480133504"/>
      </c:lineChart>
      <c:catAx>
        <c:axId val="4792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ca-ES"/>
          </a:p>
        </c:txPr>
        <c:crossAx val="480133504"/>
        <c:crosses val="autoZero"/>
        <c:auto val="1"/>
        <c:lblAlgn val="ctr"/>
        <c:lblOffset val="100"/>
        <c:noMultiLvlLbl val="0"/>
      </c:catAx>
      <c:valAx>
        <c:axId val="4801335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ca-ES"/>
          </a:p>
        </c:txPr>
        <c:crossAx val="4792510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0</xdr:rowOff>
    </xdr:from>
    <xdr:to>
      <xdr:col>4</xdr:col>
      <xdr:colOff>219075</xdr:colOff>
      <xdr:row>35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19</xdr:row>
      <xdr:rowOff>152400</xdr:rowOff>
    </xdr:from>
    <xdr:to>
      <xdr:col>9</xdr:col>
      <xdr:colOff>485775</xdr:colOff>
      <xdr:row>35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22@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9"/>
  <sheetViews>
    <sheetView topLeftCell="A7" zoomScaleNormal="100" workbookViewId="0">
      <selection activeCell="K18" sqref="K1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406</v>
      </c>
    </row>
    <row r="2" spans="1:13" x14ac:dyDescent="0.2">
      <c r="A2" s="8" t="s">
        <v>407</v>
      </c>
      <c r="H2" s="560" t="s">
        <v>555</v>
      </c>
      <c r="I2" s="561"/>
      <c r="J2" s="562"/>
    </row>
    <row r="3" spans="1:13" ht="22.5" x14ac:dyDescent="0.2">
      <c r="C3" s="14"/>
      <c r="D3" s="14"/>
      <c r="E3" s="14"/>
      <c r="F3" s="146"/>
      <c r="G3" s="14"/>
      <c r="H3" s="116"/>
      <c r="I3" s="147"/>
      <c r="J3" s="117" t="s">
        <v>550</v>
      </c>
    </row>
    <row r="4" spans="1:13" x14ac:dyDescent="0.2">
      <c r="A4" s="1"/>
      <c r="B4" s="2" t="s">
        <v>408</v>
      </c>
      <c r="C4" s="3" t="s">
        <v>547</v>
      </c>
      <c r="D4" s="3" t="s">
        <v>450</v>
      </c>
      <c r="E4" s="3" t="s">
        <v>548</v>
      </c>
      <c r="F4" s="3" t="s">
        <v>481</v>
      </c>
      <c r="G4" s="3" t="s">
        <v>510</v>
      </c>
      <c r="H4" s="11" t="s">
        <v>549</v>
      </c>
      <c r="I4" s="97" t="s">
        <v>481</v>
      </c>
      <c r="J4" s="12" t="s">
        <v>18</v>
      </c>
    </row>
    <row r="5" spans="1:13" x14ac:dyDescent="0.2">
      <c r="A5" s="6"/>
      <c r="B5" s="6" t="s">
        <v>211</v>
      </c>
      <c r="C5" s="118">
        <v>2075269286.7199998</v>
      </c>
      <c r="D5" s="118">
        <v>2430506527.5099998</v>
      </c>
      <c r="E5" s="118">
        <v>2313220529.2600002</v>
      </c>
      <c r="F5" s="118">
        <v>2648823066.1900001</v>
      </c>
      <c r="G5" s="118">
        <v>2354409500.5</v>
      </c>
      <c r="H5" s="119">
        <f>'ICap '!G10</f>
        <v>510329635.81999999</v>
      </c>
      <c r="I5" s="120">
        <f>'ICap '!L10</f>
        <v>473225243.75</v>
      </c>
      <c r="J5" s="61">
        <f t="shared" ref="J5:J13" si="0">+H5/I5-1</f>
        <v>7.8407465704855461E-2</v>
      </c>
    </row>
    <row r="6" spans="1:13" x14ac:dyDescent="0.2">
      <c r="A6" s="6"/>
      <c r="B6" s="6" t="s">
        <v>298</v>
      </c>
      <c r="C6" s="118">
        <v>1811995732.4200001</v>
      </c>
      <c r="D6" s="118">
        <v>1838420398.8499999</v>
      </c>
      <c r="E6" s="118">
        <v>1899831248.1999998</v>
      </c>
      <c r="F6" s="118">
        <v>1885498459.3</v>
      </c>
      <c r="G6" s="118">
        <v>1996110606.45</v>
      </c>
      <c r="H6" s="119">
        <f>DCap!K10</f>
        <v>239309268.11000001</v>
      </c>
      <c r="I6" s="120">
        <f>DCap!N10</f>
        <v>240483015.48000002</v>
      </c>
      <c r="J6" s="61">
        <f t="shared" si="0"/>
        <v>-4.8807911346970823E-3</v>
      </c>
    </row>
    <row r="7" spans="1:13" x14ac:dyDescent="0.2">
      <c r="A7" s="9"/>
      <c r="B7" s="2" t="s">
        <v>409</v>
      </c>
      <c r="C7" s="121">
        <f>+C5-C6</f>
        <v>263273554.29999971</v>
      </c>
      <c r="D7" s="121">
        <f>+D5-D6</f>
        <v>592086128.65999985</v>
      </c>
      <c r="E7" s="121">
        <f>+E5-E6</f>
        <v>413389281.06000042</v>
      </c>
      <c r="F7" s="121">
        <f>+F5-F6</f>
        <v>763324606.8900001</v>
      </c>
      <c r="G7" s="121">
        <f>+G5-G6</f>
        <v>358298894.04999995</v>
      </c>
      <c r="H7" s="122">
        <f t="shared" ref="H7:I7" si="1">+H5-H6</f>
        <v>271020367.70999998</v>
      </c>
      <c r="I7" s="123">
        <f t="shared" si="1"/>
        <v>232742228.26999998</v>
      </c>
      <c r="J7" s="44">
        <f t="shared" si="0"/>
        <v>0.16446581148821093</v>
      </c>
    </row>
    <row r="8" spans="1:13" x14ac:dyDescent="0.2">
      <c r="A8" s="6"/>
      <c r="B8" s="6" t="s">
        <v>410</v>
      </c>
      <c r="C8" s="118">
        <v>6000200</v>
      </c>
      <c r="D8" s="118">
        <v>28408197.229999997</v>
      </c>
      <c r="E8" s="118">
        <v>23479180</v>
      </c>
      <c r="F8" s="118">
        <v>48611906.079999998</v>
      </c>
      <c r="G8" s="118">
        <v>29606729</v>
      </c>
      <c r="H8" s="119">
        <f>'ICap '!G13</f>
        <v>114537.92</v>
      </c>
      <c r="I8" s="120">
        <f>'ICap '!L13</f>
        <v>37335.599999999999</v>
      </c>
      <c r="J8" s="490">
        <f t="shared" si="0"/>
        <v>2.0677937410942908</v>
      </c>
      <c r="M8" s="540"/>
    </row>
    <row r="9" spans="1:13" x14ac:dyDescent="0.2">
      <c r="A9" s="6"/>
      <c r="B9" s="6" t="s">
        <v>411</v>
      </c>
      <c r="C9" s="118">
        <v>151630998.19</v>
      </c>
      <c r="D9" s="118">
        <v>334091750.25</v>
      </c>
      <c r="E9" s="118">
        <v>426289690.11000001</v>
      </c>
      <c r="F9" s="118">
        <v>613191186.36000001</v>
      </c>
      <c r="G9" s="118">
        <v>373850342.10000002</v>
      </c>
      <c r="H9" s="119">
        <f>DCap!K13</f>
        <v>35263073.030000001</v>
      </c>
      <c r="I9" s="120">
        <f>DCap!N13</f>
        <v>13504102.220000001</v>
      </c>
      <c r="J9" s="61">
        <f t="shared" si="0"/>
        <v>1.611285997063491</v>
      </c>
    </row>
    <row r="10" spans="1:13" x14ac:dyDescent="0.2">
      <c r="A10" s="9"/>
      <c r="B10" s="2" t="s">
        <v>412</v>
      </c>
      <c r="C10" s="121">
        <f t="shared" ref="C10:I10" si="2">+C7+C8-C9</f>
        <v>117642756.10999972</v>
      </c>
      <c r="D10" s="121">
        <f t="shared" si="2"/>
        <v>286402575.63999987</v>
      </c>
      <c r="E10" s="121">
        <f>+E7+E8-E9</f>
        <v>10578770.950000405</v>
      </c>
      <c r="F10" s="121">
        <f t="shared" si="2"/>
        <v>198745326.61000013</v>
      </c>
      <c r="G10" s="121">
        <f>+G7+G8-G9</f>
        <v>14055280.949999928</v>
      </c>
      <c r="H10" s="122">
        <f t="shared" si="2"/>
        <v>235871832.59999999</v>
      </c>
      <c r="I10" s="123">
        <f t="shared" si="2"/>
        <v>219275461.64999998</v>
      </c>
      <c r="J10" s="44">
        <f t="shared" si="0"/>
        <v>7.5687315056212734E-2</v>
      </c>
    </row>
    <row r="11" spans="1:13" x14ac:dyDescent="0.2">
      <c r="A11" s="6"/>
      <c r="B11" s="6" t="s">
        <v>212</v>
      </c>
      <c r="C11" s="118">
        <v>1232200</v>
      </c>
      <c r="D11" s="118">
        <v>41248296.100000001</v>
      </c>
      <c r="E11" s="118">
        <v>237300010</v>
      </c>
      <c r="F11" s="118">
        <v>1753884.59</v>
      </c>
      <c r="G11" s="118">
        <v>166550000</v>
      </c>
      <c r="H11" s="119">
        <f>'ICap '!G16</f>
        <v>310524.65999999997</v>
      </c>
      <c r="I11" s="120">
        <f>+'ICap '!L16</f>
        <v>240586.67</v>
      </c>
      <c r="J11" s="61">
        <f t="shared" si="0"/>
        <v>0.29069769326787709</v>
      </c>
    </row>
    <row r="12" spans="1:13" ht="13.5" thickBot="1" x14ac:dyDescent="0.25">
      <c r="A12" s="6"/>
      <c r="B12" s="6" t="s">
        <v>2</v>
      </c>
      <c r="C12" s="118">
        <v>98971840.909999996</v>
      </c>
      <c r="D12" s="118">
        <v>112759752.78999999</v>
      </c>
      <c r="E12" s="118">
        <v>247878780.94999999</v>
      </c>
      <c r="F12" s="118">
        <v>148301777.84</v>
      </c>
      <c r="G12" s="118">
        <v>180605280.94999999</v>
      </c>
      <c r="H12" s="119">
        <f>+DCap!K16</f>
        <v>116837207.88</v>
      </c>
      <c r="I12" s="120">
        <f>DCap!N16</f>
        <v>104295063.16</v>
      </c>
      <c r="J12" s="296">
        <f t="shared" si="0"/>
        <v>0.12025636056002931</v>
      </c>
    </row>
    <row r="13" spans="1:13" ht="13.5" thickBot="1" x14ac:dyDescent="0.25">
      <c r="A13" s="5"/>
      <c r="B13" s="4" t="s">
        <v>413</v>
      </c>
      <c r="C13" s="124">
        <f t="shared" ref="C13:I13" si="3">+C10+C11-C12</f>
        <v>19903115.19999972</v>
      </c>
      <c r="D13" s="124">
        <f t="shared" si="3"/>
        <v>214891118.9499999</v>
      </c>
      <c r="E13" s="124">
        <f t="shared" si="3"/>
        <v>4.1723251342773438E-7</v>
      </c>
      <c r="F13" s="124">
        <f t="shared" si="3"/>
        <v>52197433.360000134</v>
      </c>
      <c r="G13" s="124">
        <f t="shared" si="3"/>
        <v>0</v>
      </c>
      <c r="H13" s="125">
        <f t="shared" si="3"/>
        <v>119345149.38</v>
      </c>
      <c r="I13" s="126">
        <f t="shared" si="3"/>
        <v>115220985.15999997</v>
      </c>
      <c r="J13" s="288">
        <f t="shared" si="0"/>
        <v>3.5793516383088253E-2</v>
      </c>
    </row>
    <row r="14" spans="1:13" ht="13.5" thickBot="1" x14ac:dyDescent="0.25"/>
    <row r="15" spans="1:13" x14ac:dyDescent="0.2">
      <c r="H15" s="563" t="s">
        <v>555</v>
      </c>
      <c r="I15" s="564"/>
    </row>
    <row r="16" spans="1:13" x14ac:dyDescent="0.2">
      <c r="A16" s="1"/>
      <c r="B16" s="2" t="s">
        <v>414</v>
      </c>
      <c r="C16" s="3" t="s">
        <v>482</v>
      </c>
      <c r="D16" s="3" t="s">
        <v>450</v>
      </c>
      <c r="E16" s="3" t="s">
        <v>483</v>
      </c>
      <c r="F16" s="3" t="s">
        <v>481</v>
      </c>
      <c r="G16" s="3" t="s">
        <v>510</v>
      </c>
      <c r="H16" s="127" t="s">
        <v>549</v>
      </c>
      <c r="I16" s="128" t="s">
        <v>481</v>
      </c>
    </row>
    <row r="17" spans="1:11" x14ac:dyDescent="0.2">
      <c r="B17" t="s">
        <v>415</v>
      </c>
      <c r="C17" s="129">
        <f t="shared" ref="C17:I17" si="4">+C7/C5</f>
        <v>0.12686235756715133</v>
      </c>
      <c r="D17" s="129">
        <f t="shared" si="4"/>
        <v>0.24360606398641479</v>
      </c>
      <c r="E17" s="129">
        <f t="shared" si="4"/>
        <v>0.17870725070568336</v>
      </c>
      <c r="F17" s="129">
        <f t="shared" si="4"/>
        <v>0.28817500747150576</v>
      </c>
      <c r="G17" s="129">
        <f t="shared" si="4"/>
        <v>0.15218206262500594</v>
      </c>
      <c r="H17" s="130">
        <f t="shared" si="4"/>
        <v>0.53106923189856148</v>
      </c>
      <c r="I17" s="131">
        <f t="shared" si="4"/>
        <v>0.4918212444155986</v>
      </c>
      <c r="K17" s="109" t="s">
        <v>154</v>
      </c>
    </row>
    <row r="18" spans="1:11" ht="37.5" thickBot="1" x14ac:dyDescent="0.25">
      <c r="A18" s="6"/>
      <c r="B18" s="132" t="s">
        <v>416</v>
      </c>
      <c r="C18" s="133">
        <f>+C10/(C5+C8)</f>
        <v>5.6524518742356693E-2</v>
      </c>
      <c r="D18" s="133">
        <f>+D10/(D5+D8)</f>
        <v>0.11647519645899207</v>
      </c>
      <c r="E18" s="133">
        <f>+E10/(E5+E8)</f>
        <v>4.5272274002852303E-3</v>
      </c>
      <c r="F18" s="133">
        <f>+F10/(F5+F8)</f>
        <v>7.367937639021116E-2</v>
      </c>
      <c r="G18" s="133">
        <f>+G10/(G5+G8)</f>
        <v>5.895631403880058E-3</v>
      </c>
      <c r="H18" s="134">
        <f t="shared" ref="H18:I18" si="5">+H10/(H5+H8)</f>
        <v>0.46209134070779645</v>
      </c>
      <c r="I18" s="135">
        <f t="shared" si="5"/>
        <v>0.46332727584581629</v>
      </c>
      <c r="J18" s="6"/>
    </row>
    <row r="19" spans="1:11" x14ac:dyDescent="0.2">
      <c r="A19" s="136"/>
      <c r="B19" s="136"/>
      <c r="C19" s="136"/>
      <c r="D19" s="136"/>
      <c r="E19" s="136"/>
      <c r="F19" s="136"/>
      <c r="G19" s="136"/>
      <c r="H19" s="136"/>
      <c r="I19" s="136"/>
    </row>
  </sheetData>
  <mergeCells count="2">
    <mergeCell ref="H2:J2"/>
    <mergeCell ref="H15:I15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M22"/>
  <sheetViews>
    <sheetView topLeftCell="A4" zoomScaleNormal="100" workbookViewId="0">
      <selection activeCell="D22" sqref="D22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.75" thickBot="1" x14ac:dyDescent="0.3">
      <c r="A1" s="7" t="s">
        <v>437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9">
        <v>13087648.619999999</v>
      </c>
      <c r="D5" s="237">
        <v>13184918.9</v>
      </c>
      <c r="E5" s="33">
        <v>1952175.71</v>
      </c>
      <c r="F5" s="49">
        <f>E5/D5</f>
        <v>0.14806126035405495</v>
      </c>
      <c r="G5" s="33">
        <v>1952175.71</v>
      </c>
      <c r="H5" s="49">
        <f>G5/D5</f>
        <v>0.14806126035405495</v>
      </c>
      <c r="I5" s="33">
        <v>1952175.71</v>
      </c>
      <c r="J5" s="172">
        <f>I5/D5</f>
        <v>0.14806126035405495</v>
      </c>
      <c r="K5" s="31">
        <v>1998877.52</v>
      </c>
      <c r="L5" s="53">
        <v>0.15025868828655495</v>
      </c>
      <c r="M5" s="242">
        <f>+I5/K5-1</f>
        <v>-2.3364017821362104E-2</v>
      </c>
    </row>
    <row r="6" spans="1:13" ht="15" customHeight="1" x14ac:dyDescent="0.2">
      <c r="A6" s="23">
        <v>2</v>
      </c>
      <c r="B6" s="23" t="s">
        <v>1</v>
      </c>
      <c r="C6" s="179">
        <v>76489858.340000004</v>
      </c>
      <c r="D6" s="237">
        <v>76866258.340000004</v>
      </c>
      <c r="E6" s="33">
        <v>58693650.920000002</v>
      </c>
      <c r="F6" s="49">
        <f>E6/D6</f>
        <v>0.76358147498714324</v>
      </c>
      <c r="G6" s="33">
        <v>56043559.07</v>
      </c>
      <c r="H6" s="49">
        <f>G6/D6</f>
        <v>0.72910481504256863</v>
      </c>
      <c r="I6" s="33">
        <v>3178977.64</v>
      </c>
      <c r="J6" s="172">
        <f>I6/D6</f>
        <v>4.1357257510031678E-2</v>
      </c>
      <c r="K6" s="31">
        <v>4719808.6399999997</v>
      </c>
      <c r="L6" s="53">
        <v>7.0073680402564384E-2</v>
      </c>
      <c r="M6" s="242">
        <f>+I6/K6-1</f>
        <v>-0.32646048124527349</v>
      </c>
    </row>
    <row r="7" spans="1:13" ht="15" customHeight="1" x14ac:dyDescent="0.2">
      <c r="A7" s="23">
        <v>3</v>
      </c>
      <c r="B7" s="23" t="s">
        <v>2</v>
      </c>
      <c r="C7" s="179"/>
      <c r="D7" s="237"/>
      <c r="E7" s="33"/>
      <c r="F7" s="49" t="s">
        <v>135</v>
      </c>
      <c r="G7" s="33"/>
      <c r="H7" s="49"/>
      <c r="I7" s="33"/>
      <c r="J7" s="172"/>
      <c r="K7" s="31"/>
      <c r="L7" s="53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79">
        <v>112844701.16</v>
      </c>
      <c r="D8" s="482">
        <v>127230951.16</v>
      </c>
      <c r="E8" s="483">
        <v>104130581.48</v>
      </c>
      <c r="F8" s="503">
        <f>E9/D9</f>
        <v>0</v>
      </c>
      <c r="G8" s="483">
        <v>101979146.48</v>
      </c>
      <c r="H8" s="49">
        <f t="shared" ref="H8" si="0">G8/D8</f>
        <v>0.80152781654328398</v>
      </c>
      <c r="I8" s="483">
        <v>20380710.800000001</v>
      </c>
      <c r="J8" s="172">
        <f t="shared" ref="J8" si="1">I8/D8</f>
        <v>0.1601867361218586</v>
      </c>
      <c r="K8" s="482">
        <v>21095418.789999999</v>
      </c>
      <c r="L8" s="404">
        <v>0.20394612298172907</v>
      </c>
      <c r="M8" s="539">
        <f>+I8/K8-1</f>
        <v>-3.3879772528564223E-2</v>
      </c>
    </row>
    <row r="9" spans="1:13" ht="15" customHeight="1" x14ac:dyDescent="0.2">
      <c r="A9" s="59">
        <v>5</v>
      </c>
      <c r="B9" s="59" t="s">
        <v>487</v>
      </c>
      <c r="C9" s="179">
        <v>2850236.89</v>
      </c>
      <c r="D9" s="236">
        <v>864992.89</v>
      </c>
      <c r="E9" s="31">
        <v>0</v>
      </c>
      <c r="F9" s="86"/>
      <c r="G9" s="31">
        <v>0</v>
      </c>
      <c r="H9" s="86"/>
      <c r="I9" s="31">
        <v>0</v>
      </c>
      <c r="J9" s="193"/>
      <c r="K9" s="201">
        <v>0</v>
      </c>
      <c r="L9" s="61"/>
      <c r="M9" s="287"/>
    </row>
    <row r="10" spans="1:13" ht="15" customHeight="1" x14ac:dyDescent="0.2">
      <c r="A10" s="9"/>
      <c r="B10" s="2" t="s">
        <v>4</v>
      </c>
      <c r="C10" s="181">
        <f>SUM(C5:C9)</f>
        <v>205272445.00999999</v>
      </c>
      <c r="D10" s="171">
        <f>SUM(D5:D9)</f>
        <v>218147121.28999999</v>
      </c>
      <c r="E10" s="92">
        <f>SUM(E5:E9)</f>
        <v>164776408.11000001</v>
      </c>
      <c r="F10" s="98">
        <f>E10/D10</f>
        <v>0.75534532445628688</v>
      </c>
      <c r="G10" s="92">
        <f>SUM(G5:G9)</f>
        <v>159974881.25999999</v>
      </c>
      <c r="H10" s="98">
        <f>G10/D10</f>
        <v>0.73333482612100531</v>
      </c>
      <c r="I10" s="92">
        <f>SUM(I5:I9)</f>
        <v>25511864.149999999</v>
      </c>
      <c r="J10" s="190">
        <f>I10/D10</f>
        <v>0.11694797528904856</v>
      </c>
      <c r="K10" s="92">
        <f>SUM(K5:K9)</f>
        <v>27814104.949999999</v>
      </c>
      <c r="L10" s="44">
        <v>0.14299999999999999</v>
      </c>
      <c r="M10" s="246">
        <f>+I10/K10-1</f>
        <v>-8.2772420832474047E-2</v>
      </c>
    </row>
    <row r="11" spans="1:13" ht="15" customHeight="1" x14ac:dyDescent="0.2">
      <c r="A11" s="21">
        <v>6</v>
      </c>
      <c r="B11" s="21" t="s">
        <v>5</v>
      </c>
      <c r="C11" s="179">
        <v>60520</v>
      </c>
      <c r="D11" s="35">
        <v>845601.79</v>
      </c>
      <c r="E11" s="35">
        <v>3267</v>
      </c>
      <c r="F11" s="49">
        <f>E11/D11</f>
        <v>3.8635206767951612E-3</v>
      </c>
      <c r="G11" s="31">
        <v>3267</v>
      </c>
      <c r="H11" s="49">
        <f>G11/D11</f>
        <v>3.8635206767951612E-3</v>
      </c>
      <c r="I11" s="31">
        <v>0</v>
      </c>
      <c r="J11" s="172">
        <f>I11/D11</f>
        <v>0</v>
      </c>
      <c r="K11" s="154">
        <v>58019.77</v>
      </c>
      <c r="L11" s="112">
        <v>1.4687587274346488E-2</v>
      </c>
      <c r="M11" s="242">
        <f>+I11/K11-1</f>
        <v>-1</v>
      </c>
    </row>
    <row r="12" spans="1:13" ht="15" customHeight="1" x14ac:dyDescent="0.2">
      <c r="A12" s="25">
        <v>7</v>
      </c>
      <c r="B12" s="25" t="s">
        <v>6</v>
      </c>
      <c r="C12" s="180"/>
      <c r="D12" s="238"/>
      <c r="E12" s="35"/>
      <c r="F12" s="86"/>
      <c r="G12" s="60"/>
      <c r="H12" s="86"/>
      <c r="I12" s="60"/>
      <c r="J12" s="193"/>
      <c r="K12" s="170"/>
      <c r="L12" s="113">
        <v>0</v>
      </c>
      <c r="M12" s="283" t="s">
        <v>135</v>
      </c>
    </row>
    <row r="13" spans="1:13" ht="15" customHeight="1" x14ac:dyDescent="0.2">
      <c r="A13" s="9"/>
      <c r="B13" s="2" t="s">
        <v>7</v>
      </c>
      <c r="C13" s="181">
        <f>SUM(C11:C12)</f>
        <v>60520</v>
      </c>
      <c r="D13" s="171">
        <f t="shared" ref="D13:I13" si="2">SUM(D11:D12)</f>
        <v>845601.79</v>
      </c>
      <c r="E13" s="92">
        <f t="shared" si="2"/>
        <v>3267</v>
      </c>
      <c r="F13" s="98">
        <f>E13/D13</f>
        <v>3.8635206767951612E-3</v>
      </c>
      <c r="G13" s="92">
        <f t="shared" si="2"/>
        <v>3267</v>
      </c>
      <c r="H13" s="98">
        <f>G13/D13</f>
        <v>3.8635206767951612E-3</v>
      </c>
      <c r="I13" s="92">
        <f t="shared" si="2"/>
        <v>0</v>
      </c>
      <c r="J13" s="190">
        <f>I13/D13</f>
        <v>0</v>
      </c>
      <c r="K13" s="92">
        <f>SUM(K11:K12)</f>
        <v>58019.77</v>
      </c>
      <c r="L13" s="44">
        <v>1.4999999999999999E-2</v>
      </c>
      <c r="M13" s="246">
        <f>+I13/K13-1</f>
        <v>-1</v>
      </c>
    </row>
    <row r="14" spans="1:13" ht="15" customHeight="1" x14ac:dyDescent="0.2">
      <c r="A14" s="21">
        <v>8</v>
      </c>
      <c r="B14" s="21" t="s">
        <v>8</v>
      </c>
      <c r="C14" s="178"/>
      <c r="D14" s="236"/>
      <c r="E14" s="31"/>
      <c r="F14" s="94" t="s">
        <v>135</v>
      </c>
      <c r="G14" s="31"/>
      <c r="H14" s="94" t="s">
        <v>135</v>
      </c>
      <c r="I14" s="31"/>
      <c r="J14" s="255" t="s">
        <v>135</v>
      </c>
      <c r="K14" s="31"/>
      <c r="L14" s="57" t="s">
        <v>135</v>
      </c>
      <c r="M14" s="247" t="s">
        <v>135</v>
      </c>
    </row>
    <row r="15" spans="1:13" ht="15" customHeight="1" x14ac:dyDescent="0.2">
      <c r="A15" s="25">
        <v>9</v>
      </c>
      <c r="B15" s="25" t="s">
        <v>9</v>
      </c>
      <c r="C15" s="180"/>
      <c r="D15" s="238"/>
      <c r="E15" s="35"/>
      <c r="F15" s="50" t="s">
        <v>135</v>
      </c>
      <c r="G15" s="35"/>
      <c r="H15" s="50" t="s">
        <v>135</v>
      </c>
      <c r="I15" s="35"/>
      <c r="J15" s="256" t="s">
        <v>135</v>
      </c>
      <c r="K15" s="35"/>
      <c r="L15" s="56" t="s">
        <v>135</v>
      </c>
      <c r="M15" s="248" t="s">
        <v>135</v>
      </c>
    </row>
    <row r="16" spans="1:13" ht="15" customHeight="1" thickBot="1" x14ac:dyDescent="0.25">
      <c r="A16" s="9"/>
      <c r="B16" s="2" t="s">
        <v>10</v>
      </c>
      <c r="C16" s="181">
        <f>SUM(C14:C15)</f>
        <v>0</v>
      </c>
      <c r="D16" s="171">
        <f t="shared" ref="D16:I16" si="3">SUM(D14:D15)</f>
        <v>0</v>
      </c>
      <c r="E16" s="92">
        <f t="shared" si="3"/>
        <v>0</v>
      </c>
      <c r="F16" s="62" t="s">
        <v>135</v>
      </c>
      <c r="G16" s="92">
        <f t="shared" si="3"/>
        <v>0</v>
      </c>
      <c r="H16" s="62" t="s">
        <v>135</v>
      </c>
      <c r="I16" s="92">
        <f t="shared" si="3"/>
        <v>0</v>
      </c>
      <c r="J16" s="257" t="s">
        <v>135</v>
      </c>
      <c r="K16" s="92">
        <f>SUM(K14:K15)</f>
        <v>0</v>
      </c>
      <c r="L16" s="107" t="s">
        <v>135</v>
      </c>
      <c r="M16" s="249" t="s">
        <v>135</v>
      </c>
    </row>
    <row r="17" spans="1:13" s="6" customFormat="1" ht="19.5" customHeight="1" thickBot="1" x14ac:dyDescent="0.25">
      <c r="A17" s="5"/>
      <c r="B17" s="4" t="s">
        <v>11</v>
      </c>
      <c r="C17" s="182">
        <f>+C10+C13+C16</f>
        <v>205332965.00999999</v>
      </c>
      <c r="D17" s="173">
        <f t="shared" ref="D17:I17" si="4">+D10+D13+D16</f>
        <v>218992723.07999998</v>
      </c>
      <c r="E17" s="174">
        <f t="shared" si="4"/>
        <v>164779675.11000001</v>
      </c>
      <c r="F17" s="202">
        <f>E17/D17</f>
        <v>0.75244360996326143</v>
      </c>
      <c r="G17" s="174">
        <f t="shared" si="4"/>
        <v>159978148.25999999</v>
      </c>
      <c r="H17" s="202">
        <f>G17/D17</f>
        <v>0.73051810128667405</v>
      </c>
      <c r="I17" s="174">
        <f t="shared" si="4"/>
        <v>25511864.149999999</v>
      </c>
      <c r="J17" s="194">
        <f>I17/D17</f>
        <v>0.11649640130133589</v>
      </c>
      <c r="K17" s="391">
        <f>K10+K13+K16</f>
        <v>27872124.719999999</v>
      </c>
      <c r="L17" s="392">
        <v>0.14071902535019343</v>
      </c>
      <c r="M17" s="250">
        <f>+I17/K17-1</f>
        <v>-8.4681759776511267E-2</v>
      </c>
    </row>
    <row r="22" spans="1:13" x14ac:dyDescent="0.2">
      <c r="E22" s="201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20"/>
  <sheetViews>
    <sheetView topLeftCell="A2" zoomScaleNormal="100" workbookViewId="0">
      <selection activeCell="F10" sqref="F1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10.5703125" style="105" bestFit="1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1" spans="1:13" ht="15.75" thickBot="1" x14ac:dyDescent="0.3">
      <c r="A1" s="7" t="s">
        <v>132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80">
        <v>212198443.66999999</v>
      </c>
      <c r="D5" s="237">
        <v>210781238.61000001</v>
      </c>
      <c r="E5" s="33">
        <v>30029757.739999998</v>
      </c>
      <c r="F5" s="49">
        <f>E5/D5</f>
        <v>0.14246883611668515</v>
      </c>
      <c r="G5" s="33">
        <v>29761012.530000001</v>
      </c>
      <c r="H5" s="49">
        <f>G5/D5</f>
        <v>0.14119384024052348</v>
      </c>
      <c r="I5" s="33">
        <v>29436849.809999999</v>
      </c>
      <c r="J5" s="172">
        <f>I5/D5</f>
        <v>0.13965592955104419</v>
      </c>
      <c r="K5" s="31">
        <v>28429412.890000001</v>
      </c>
      <c r="L5" s="53">
        <v>0.13760165885624126</v>
      </c>
      <c r="M5" s="242">
        <f>+I5/K5-1</f>
        <v>3.5436430709913092E-2</v>
      </c>
    </row>
    <row r="6" spans="1:13" ht="15" customHeight="1" x14ac:dyDescent="0.2">
      <c r="A6" s="23">
        <v>2</v>
      </c>
      <c r="B6" s="23" t="s">
        <v>1</v>
      </c>
      <c r="C6" s="180">
        <v>29591849.129999999</v>
      </c>
      <c r="D6" s="237">
        <v>29591849.129999999</v>
      </c>
      <c r="E6" s="33">
        <v>21868330.25</v>
      </c>
      <c r="F6" s="49">
        <f>E6/D6</f>
        <v>0.7389984368307031</v>
      </c>
      <c r="G6" s="33">
        <v>17567114.850000001</v>
      </c>
      <c r="H6" s="49">
        <f>G6/D6</f>
        <v>0.59364708074936046</v>
      </c>
      <c r="I6" s="33">
        <v>693218.55</v>
      </c>
      <c r="J6" s="172">
        <f>I6/D6</f>
        <v>2.3425996359829376E-2</v>
      </c>
      <c r="K6" s="33">
        <v>877001.21</v>
      </c>
      <c r="L6" s="55">
        <v>3.0240690992918717E-2</v>
      </c>
      <c r="M6" s="243">
        <f>+I6/K6-1</f>
        <v>-0.20955804610577433</v>
      </c>
    </row>
    <row r="7" spans="1:13" ht="15" customHeight="1" x14ac:dyDescent="0.2">
      <c r="A7" s="23">
        <v>3</v>
      </c>
      <c r="B7" s="23" t="s">
        <v>2</v>
      </c>
      <c r="C7" s="180"/>
      <c r="D7" s="237"/>
      <c r="E7" s="33"/>
      <c r="F7" s="49" t="s">
        <v>135</v>
      </c>
      <c r="G7" s="33"/>
      <c r="H7" s="49" t="s">
        <v>135</v>
      </c>
      <c r="I7" s="33"/>
      <c r="J7" s="172" t="s">
        <v>135</v>
      </c>
      <c r="K7" s="33"/>
      <c r="L7" s="55" t="s">
        <v>135</v>
      </c>
      <c r="M7" s="243" t="s">
        <v>135</v>
      </c>
    </row>
    <row r="8" spans="1:13" ht="15" customHeight="1" x14ac:dyDescent="0.2">
      <c r="A8" s="25">
        <v>4</v>
      </c>
      <c r="B8" s="25" t="s">
        <v>3</v>
      </c>
      <c r="C8" s="180">
        <v>2868215.11</v>
      </c>
      <c r="D8" s="237">
        <v>3570983.11</v>
      </c>
      <c r="E8" s="33">
        <v>709675.5</v>
      </c>
      <c r="F8" s="464">
        <f>E8/D8</f>
        <v>0.19873392792384281</v>
      </c>
      <c r="G8" s="33">
        <v>709675.5</v>
      </c>
      <c r="H8" s="464">
        <f>G8/D8</f>
        <v>0.19873392792384281</v>
      </c>
      <c r="I8" s="33">
        <v>704649</v>
      </c>
      <c r="J8" s="172">
        <f>I8/D8</f>
        <v>0.19732633235557365</v>
      </c>
      <c r="K8" s="35">
        <v>1949990.38</v>
      </c>
      <c r="L8" s="385">
        <v>0.72752738074930734</v>
      </c>
      <c r="M8" s="243">
        <f>+I8/K8-1</f>
        <v>-0.63863975575100018</v>
      </c>
    </row>
    <row r="9" spans="1:13" ht="15" customHeight="1" x14ac:dyDescent="0.2">
      <c r="A9" s="9"/>
      <c r="B9" s="2" t="s">
        <v>4</v>
      </c>
      <c r="C9" s="181">
        <f>SUM(C5:C8)</f>
        <v>244658507.91</v>
      </c>
      <c r="D9" s="171">
        <f t="shared" ref="D9:I9" si="0">SUM(D5:D8)</f>
        <v>243944070.85000002</v>
      </c>
      <c r="E9" s="92">
        <f t="shared" si="0"/>
        <v>52607763.489999995</v>
      </c>
      <c r="F9" s="98">
        <f>E9/D9</f>
        <v>0.21565502004903511</v>
      </c>
      <c r="G9" s="92">
        <f t="shared" si="0"/>
        <v>48037802.880000003</v>
      </c>
      <c r="H9" s="98">
        <f>G9/D9</f>
        <v>0.19692137920227709</v>
      </c>
      <c r="I9" s="92">
        <f t="shared" si="0"/>
        <v>30834717.359999999</v>
      </c>
      <c r="J9" s="190">
        <f>I9/D9</f>
        <v>0.12640076576798667</v>
      </c>
      <c r="K9" s="92">
        <f>SUM(K5:K8)</f>
        <v>31256404.48</v>
      </c>
      <c r="L9" s="44">
        <v>0.13100000000000001</v>
      </c>
      <c r="M9" s="246">
        <f>+I9/K9-1</f>
        <v>-1.349122290344773E-2</v>
      </c>
    </row>
    <row r="10" spans="1:13" ht="15" customHeight="1" x14ac:dyDescent="0.2">
      <c r="A10" s="21">
        <v>6</v>
      </c>
      <c r="B10" s="21" t="s">
        <v>5</v>
      </c>
      <c r="C10" s="180">
        <v>1549357.27</v>
      </c>
      <c r="D10" s="237">
        <v>5472803.5300000003</v>
      </c>
      <c r="E10" s="33">
        <v>2043062.42</v>
      </c>
      <c r="F10" s="505">
        <f>E10/D10</f>
        <v>0.37331185174118608</v>
      </c>
      <c r="G10" s="33">
        <v>1125571.05</v>
      </c>
      <c r="H10" s="505">
        <f>G10/D10</f>
        <v>0.20566626297290083</v>
      </c>
      <c r="I10" s="155">
        <v>3917.38</v>
      </c>
      <c r="J10" s="172">
        <f>I10/D10</f>
        <v>7.157903583650115E-4</v>
      </c>
      <c r="K10" s="154"/>
      <c r="L10" s="53"/>
      <c r="M10" s="258"/>
    </row>
    <row r="11" spans="1:13" ht="15" customHeight="1" x14ac:dyDescent="0.2">
      <c r="A11" s="25">
        <v>7</v>
      </c>
      <c r="B11" s="25" t="s">
        <v>6</v>
      </c>
      <c r="C11" s="180"/>
      <c r="D11" s="238"/>
      <c r="E11" s="35"/>
      <c r="F11" s="282" t="s">
        <v>135</v>
      </c>
      <c r="G11" s="155"/>
      <c r="H11" s="282" t="s">
        <v>135</v>
      </c>
      <c r="I11" s="155"/>
      <c r="J11" s="225" t="s">
        <v>135</v>
      </c>
      <c r="K11" s="155"/>
      <c r="L11" s="56"/>
      <c r="M11" s="248" t="s">
        <v>135</v>
      </c>
    </row>
    <row r="12" spans="1:13" ht="15" customHeight="1" x14ac:dyDescent="0.2">
      <c r="A12" s="9"/>
      <c r="B12" s="2" t="s">
        <v>7</v>
      </c>
      <c r="C12" s="181">
        <f>SUM(C10:C11)</f>
        <v>1549357.27</v>
      </c>
      <c r="D12" s="171">
        <f t="shared" ref="D12:I12" si="1">SUM(D10:D11)</f>
        <v>5472803.5300000003</v>
      </c>
      <c r="E12" s="92">
        <f t="shared" si="1"/>
        <v>2043062.42</v>
      </c>
      <c r="F12" s="98">
        <f>E12/D12</f>
        <v>0.37331185174118608</v>
      </c>
      <c r="G12" s="92">
        <f t="shared" si="1"/>
        <v>1125571.05</v>
      </c>
      <c r="H12" s="98">
        <f>G12/D12</f>
        <v>0.20566626297290083</v>
      </c>
      <c r="I12" s="92">
        <f t="shared" si="1"/>
        <v>3917.38</v>
      </c>
      <c r="J12" s="190">
        <f>I12/D12</f>
        <v>7.157903583650115E-4</v>
      </c>
      <c r="K12" s="92"/>
      <c r="L12" s="44"/>
      <c r="M12" s="246" t="s">
        <v>135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94" t="s">
        <v>135</v>
      </c>
      <c r="G13" s="31"/>
      <c r="H13" s="94" t="s">
        <v>135</v>
      </c>
      <c r="I13" s="31"/>
      <c r="J13" s="255" t="s">
        <v>135</v>
      </c>
      <c r="K13" s="31"/>
      <c r="L13" s="57" t="s">
        <v>135</v>
      </c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50" t="s">
        <v>135</v>
      </c>
      <c r="G14" s="35"/>
      <c r="H14" s="50" t="s">
        <v>135</v>
      </c>
      <c r="I14" s="35"/>
      <c r="J14" s="256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2">SUM(D13:D14)</f>
        <v>0</v>
      </c>
      <c r="E15" s="92">
        <f t="shared" si="2"/>
        <v>0</v>
      </c>
      <c r="F15" s="98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7" t="s">
        <v>135</v>
      </c>
      <c r="K15" s="92"/>
      <c r="L15" s="107" t="s">
        <v>135</v>
      </c>
      <c r="M15" s="249" t="s">
        <v>135</v>
      </c>
    </row>
    <row r="16" spans="1:13" s="6" customFormat="1" ht="19.5" customHeight="1" thickBot="1" x14ac:dyDescent="0.25">
      <c r="A16" s="5"/>
      <c r="B16" s="4" t="s">
        <v>11</v>
      </c>
      <c r="C16" s="182">
        <f>+C9+C12+C15</f>
        <v>246207865.18000001</v>
      </c>
      <c r="D16" s="173">
        <f t="shared" ref="D16:I16" si="3">+D9+D12+D15</f>
        <v>249416874.38000003</v>
      </c>
      <c r="E16" s="174">
        <f t="shared" si="3"/>
        <v>54650825.909999996</v>
      </c>
      <c r="F16" s="202">
        <f>E16/D16</f>
        <v>0.21911438849456721</v>
      </c>
      <c r="G16" s="174">
        <f t="shared" si="3"/>
        <v>49163373.93</v>
      </c>
      <c r="H16" s="202">
        <f>G16/D16</f>
        <v>0.1971132628945424</v>
      </c>
      <c r="I16" s="174">
        <f t="shared" si="3"/>
        <v>30838634.739999998</v>
      </c>
      <c r="J16" s="194">
        <f>I16/D16</f>
        <v>0.12364293641582437</v>
      </c>
      <c r="K16" s="165">
        <f>K9+K12+K15</f>
        <v>31256404.48</v>
      </c>
      <c r="L16" s="211">
        <v>0.122</v>
      </c>
      <c r="M16" s="250">
        <f>+I16/K16-1</f>
        <v>-1.3365892429096249E-2</v>
      </c>
    </row>
    <row r="20" spans="5:5" x14ac:dyDescent="0.2">
      <c r="E20" s="201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20"/>
  <sheetViews>
    <sheetView topLeftCell="A2" zoomScaleNormal="100" workbookViewId="0">
      <selection activeCell="J16" sqref="J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.75" thickBot="1" x14ac:dyDescent="0.3">
      <c r="A1" s="7" t="s">
        <v>438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9">
        <v>8069693.5999999996</v>
      </c>
      <c r="D5" s="237">
        <v>8894679.0399999991</v>
      </c>
      <c r="E5" s="33">
        <v>1406010.25</v>
      </c>
      <c r="F5" s="49">
        <f>E5/D5</f>
        <v>0.15807318551654004</v>
      </c>
      <c r="G5" s="33">
        <v>1357421.08</v>
      </c>
      <c r="H5" s="49">
        <f>G5/D5</f>
        <v>0.1526104622657638</v>
      </c>
      <c r="I5" s="33">
        <v>1357421.08</v>
      </c>
      <c r="J5" s="172">
        <f>I5/D5</f>
        <v>0.1526104622657638</v>
      </c>
      <c r="K5" s="31">
        <v>1235495.6100000001</v>
      </c>
      <c r="L5" s="53">
        <v>0.14757705505601684</v>
      </c>
      <c r="M5" s="242">
        <f>+I5/K5-1</f>
        <v>9.8685474082744751E-2</v>
      </c>
    </row>
    <row r="6" spans="1:13" ht="15" customHeight="1" x14ac:dyDescent="0.2">
      <c r="A6" s="23">
        <v>2</v>
      </c>
      <c r="B6" s="23" t="s">
        <v>1</v>
      </c>
      <c r="C6" s="179">
        <v>6261542.29</v>
      </c>
      <c r="D6" s="237">
        <v>7229046.04</v>
      </c>
      <c r="E6" s="33">
        <v>3436024.72</v>
      </c>
      <c r="F6" s="49">
        <f>E6/D6</f>
        <v>0.4753081804968004</v>
      </c>
      <c r="G6" s="33">
        <v>2648226.35</v>
      </c>
      <c r="H6" s="49">
        <f>G6/D6</f>
        <v>0.3663313714350061</v>
      </c>
      <c r="I6" s="33">
        <v>143032.85999999999</v>
      </c>
      <c r="J6" s="172">
        <f>I6/D6</f>
        <v>1.9785855451544473E-2</v>
      </c>
      <c r="K6" s="33">
        <v>864781.81</v>
      </c>
      <c r="L6" s="55">
        <v>0.16493335225936318</v>
      </c>
      <c r="M6" s="243">
        <f>+I6/K6-1</f>
        <v>-0.83460237212898825</v>
      </c>
    </row>
    <row r="7" spans="1:13" ht="15" customHeight="1" x14ac:dyDescent="0.2">
      <c r="A7" s="23">
        <v>3</v>
      </c>
      <c r="B7" s="23" t="s">
        <v>2</v>
      </c>
      <c r="C7" s="179"/>
      <c r="D7" s="237"/>
      <c r="E7" s="33"/>
      <c r="F7" s="49" t="s">
        <v>135</v>
      </c>
      <c r="G7" s="33"/>
      <c r="H7" s="49" t="s">
        <v>135</v>
      </c>
      <c r="I7" s="33"/>
      <c r="J7" s="172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79">
        <v>28344074.559999999</v>
      </c>
      <c r="D8" s="237">
        <v>27969446.699999999</v>
      </c>
      <c r="E8" s="33">
        <v>17157177.399999999</v>
      </c>
      <c r="F8" s="464">
        <f>E8/D8</f>
        <v>0.61342569926490531</v>
      </c>
      <c r="G8" s="33">
        <v>17032177.399999999</v>
      </c>
      <c r="H8" s="464">
        <f>G8/D8</f>
        <v>0.60895653684847473</v>
      </c>
      <c r="I8" s="33">
        <v>4081755</v>
      </c>
      <c r="J8" s="466">
        <f>I8/D8</f>
        <v>0.1459362083126228</v>
      </c>
      <c r="K8" s="35">
        <v>6722264.3300000001</v>
      </c>
      <c r="L8" s="385">
        <v>0.25550759049297667</v>
      </c>
      <c r="M8" s="243">
        <f>+I8/K8-1</f>
        <v>-0.39280058033659615</v>
      </c>
    </row>
    <row r="9" spans="1:13" ht="15" customHeight="1" x14ac:dyDescent="0.2">
      <c r="A9" s="9"/>
      <c r="B9" s="2" t="s">
        <v>4</v>
      </c>
      <c r="C9" s="181">
        <f>SUM(C5:C8)</f>
        <v>42675310.450000003</v>
      </c>
      <c r="D9" s="171">
        <f t="shared" ref="D9:I9" si="0">SUM(D5:D8)</f>
        <v>44093171.780000001</v>
      </c>
      <c r="E9" s="92">
        <f t="shared" si="0"/>
        <v>21999212.369999997</v>
      </c>
      <c r="F9" s="98">
        <f>E9/D9</f>
        <v>0.49892560416754844</v>
      </c>
      <c r="G9" s="92">
        <f t="shared" si="0"/>
        <v>21037824.829999998</v>
      </c>
      <c r="H9" s="98">
        <f>G9/D9</f>
        <v>0.47712205724203399</v>
      </c>
      <c r="I9" s="92">
        <f t="shared" si="0"/>
        <v>5582208.9399999995</v>
      </c>
      <c r="J9" s="190">
        <f>I9/D9</f>
        <v>0.12660030373528278</v>
      </c>
      <c r="K9" s="92">
        <f>SUM(K5:K8)</f>
        <v>8822541.75</v>
      </c>
      <c r="L9" s="44">
        <v>0.221</v>
      </c>
      <c r="M9" s="162">
        <f>+I9/K9-1</f>
        <v>-0.36727882982248294</v>
      </c>
    </row>
    <row r="10" spans="1:13" ht="15" customHeight="1" x14ac:dyDescent="0.2">
      <c r="A10" s="21">
        <v>6</v>
      </c>
      <c r="B10" s="21" t="s">
        <v>5</v>
      </c>
      <c r="C10" s="179">
        <v>548825</v>
      </c>
      <c r="D10" s="237">
        <v>1047044.76</v>
      </c>
      <c r="E10" s="31">
        <v>548825</v>
      </c>
      <c r="F10" s="49">
        <f>E10/D10</f>
        <v>0.52416574817680195</v>
      </c>
      <c r="G10" s="31">
        <v>548825</v>
      </c>
      <c r="H10" s="49">
        <f>G10/D10</f>
        <v>0.52416574817680195</v>
      </c>
      <c r="I10" s="31">
        <v>0</v>
      </c>
      <c r="J10" s="172">
        <f>I10/D10</f>
        <v>0</v>
      </c>
      <c r="K10" s="154">
        <v>112486.48</v>
      </c>
      <c r="L10" s="53">
        <v>2.3945074491777296E-2</v>
      </c>
      <c r="M10" s="243">
        <f>+I10/K10-1</f>
        <v>-1</v>
      </c>
    </row>
    <row r="11" spans="1:13" ht="15" customHeight="1" x14ac:dyDescent="0.2">
      <c r="A11" s="25">
        <v>7</v>
      </c>
      <c r="B11" s="25" t="s">
        <v>6</v>
      </c>
      <c r="C11" s="179">
        <v>6844993</v>
      </c>
      <c r="D11" s="237">
        <v>6844993</v>
      </c>
      <c r="E11" s="35">
        <v>0</v>
      </c>
      <c r="F11" s="86">
        <f>E11/D11</f>
        <v>0</v>
      </c>
      <c r="G11" s="60">
        <v>0</v>
      </c>
      <c r="H11" s="86">
        <f>G11/D11</f>
        <v>0</v>
      </c>
      <c r="I11" s="60">
        <v>0</v>
      </c>
      <c r="J11" s="193">
        <f>I11/D11</f>
        <v>0</v>
      </c>
      <c r="K11" s="155">
        <v>0</v>
      </c>
      <c r="L11" s="385">
        <v>0</v>
      </c>
      <c r="M11" s="242"/>
    </row>
    <row r="12" spans="1:13" ht="15" customHeight="1" x14ac:dyDescent="0.2">
      <c r="A12" s="9"/>
      <c r="B12" s="2" t="s">
        <v>7</v>
      </c>
      <c r="C12" s="181">
        <f>SUM(C10:C11)</f>
        <v>7393818</v>
      </c>
      <c r="D12" s="171">
        <f t="shared" ref="D12:I12" si="1">SUM(D10:D11)</f>
        <v>7892037.7599999998</v>
      </c>
      <c r="E12" s="92">
        <f t="shared" si="1"/>
        <v>548825</v>
      </c>
      <c r="F12" s="98">
        <f>E12/D12</f>
        <v>6.9541608478061817E-2</v>
      </c>
      <c r="G12" s="92">
        <f t="shared" si="1"/>
        <v>548825</v>
      </c>
      <c r="H12" s="98">
        <f>G12/D12</f>
        <v>6.9541608478061817E-2</v>
      </c>
      <c r="I12" s="92">
        <f t="shared" si="1"/>
        <v>0</v>
      </c>
      <c r="J12" s="190">
        <f>I12/D12</f>
        <v>0</v>
      </c>
      <c r="K12" s="92">
        <f>SUM(K10:K11)</f>
        <v>112486.48</v>
      </c>
      <c r="L12" s="44">
        <v>0.01</v>
      </c>
      <c r="M12" s="162">
        <f>+I12/K12-1</f>
        <v>-1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28" t="s">
        <v>135</v>
      </c>
      <c r="G13" s="31"/>
      <c r="H13" s="28" t="s">
        <v>135</v>
      </c>
      <c r="I13" s="31"/>
      <c r="J13" s="260" t="s">
        <v>135</v>
      </c>
      <c r="K13" s="31"/>
      <c r="L13" s="57" t="s">
        <v>135</v>
      </c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29" t="s">
        <v>135</v>
      </c>
      <c r="G14" s="35"/>
      <c r="H14" s="29" t="s">
        <v>135</v>
      </c>
      <c r="I14" s="35"/>
      <c r="J14" s="261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2">SUM(D13:D14)</f>
        <v>0</v>
      </c>
      <c r="E15" s="92">
        <f t="shared" si="2"/>
        <v>0</v>
      </c>
      <c r="F15" s="262" t="s">
        <v>135</v>
      </c>
      <c r="G15" s="92">
        <f t="shared" si="2"/>
        <v>0</v>
      </c>
      <c r="H15" s="262" t="s">
        <v>135</v>
      </c>
      <c r="I15" s="92">
        <f t="shared" si="2"/>
        <v>0</v>
      </c>
      <c r="J15" s="263" t="s">
        <v>135</v>
      </c>
      <c r="K15" s="92">
        <f>SUM(K13:K14)</f>
        <v>0</v>
      </c>
      <c r="L15" s="107" t="s">
        <v>135</v>
      </c>
      <c r="M15" s="249" t="s">
        <v>135</v>
      </c>
    </row>
    <row r="16" spans="1:13" s="6" customFormat="1" ht="19.5" customHeight="1" thickBot="1" x14ac:dyDescent="0.25">
      <c r="A16" s="5"/>
      <c r="B16" s="4" t="s">
        <v>11</v>
      </c>
      <c r="C16" s="182">
        <f>+C9+C12+C15</f>
        <v>50069128.450000003</v>
      </c>
      <c r="D16" s="173">
        <f t="shared" ref="D16:I16" si="3">+D9+D12+D15</f>
        <v>51985209.539999999</v>
      </c>
      <c r="E16" s="174">
        <f t="shared" si="3"/>
        <v>22548037.369999997</v>
      </c>
      <c r="F16" s="202">
        <f>E16/D16</f>
        <v>0.43373947262154283</v>
      </c>
      <c r="G16" s="174">
        <f t="shared" si="3"/>
        <v>21586649.829999998</v>
      </c>
      <c r="H16" s="202">
        <f>G16/D16</f>
        <v>0.41524599056179928</v>
      </c>
      <c r="I16" s="174">
        <f t="shared" si="3"/>
        <v>5582208.9399999995</v>
      </c>
      <c r="J16" s="194">
        <f>I16/D16</f>
        <v>0.10738071442618252</v>
      </c>
      <c r="K16" s="165">
        <f>K9+K12+K15</f>
        <v>8935028.2300000004</v>
      </c>
      <c r="L16" s="211">
        <v>0.17399999999999999</v>
      </c>
      <c r="M16" s="250">
        <f>+I16/K16-1</f>
        <v>-0.37524439808065391</v>
      </c>
    </row>
    <row r="20" spans="5:5" x14ac:dyDescent="0.2">
      <c r="E20" s="201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
&amp;R&amp;"Arial,Negreta"&amp;8&amp;K03+000Direcció de Pressupostos i Política Fiscal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20"/>
  <sheetViews>
    <sheetView zoomScaleNormal="100" workbookViewId="0">
      <selection activeCell="M5" sqref="M5:M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131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80">
        <v>2340875.96</v>
      </c>
      <c r="D5" s="238">
        <v>2456006.2400000002</v>
      </c>
      <c r="E5" s="35">
        <v>351281.72</v>
      </c>
      <c r="F5" s="49">
        <f>E5/D5</f>
        <v>0.14302965288882977</v>
      </c>
      <c r="G5" s="35">
        <v>351281.72</v>
      </c>
      <c r="H5" s="49">
        <f>G5/D5</f>
        <v>0.14302965288882977</v>
      </c>
      <c r="I5" s="35">
        <v>351281.72</v>
      </c>
      <c r="J5" s="172">
        <f>I5/D5</f>
        <v>0.14302965288882977</v>
      </c>
      <c r="K5" s="31">
        <v>458613.18</v>
      </c>
      <c r="L5" s="53">
        <v>0.14660869172430027</v>
      </c>
      <c r="M5" s="242">
        <f>+I5/K5-1</f>
        <v>-0.23403483519597068</v>
      </c>
    </row>
    <row r="6" spans="1:13" ht="15" customHeight="1" x14ac:dyDescent="0.2">
      <c r="A6" s="23">
        <v>2</v>
      </c>
      <c r="B6" s="23" t="s">
        <v>1</v>
      </c>
      <c r="C6" s="180">
        <v>191288596.02000001</v>
      </c>
      <c r="D6" s="238">
        <v>191288596.02000001</v>
      </c>
      <c r="E6" s="35">
        <v>187552158.34999999</v>
      </c>
      <c r="F6" s="49">
        <f>E6/D6</f>
        <v>0.98046701294409966</v>
      </c>
      <c r="G6" s="35">
        <v>187507558.34999999</v>
      </c>
      <c r="H6" s="49">
        <f>G6/D6</f>
        <v>0.98023385738267066</v>
      </c>
      <c r="I6" s="35">
        <v>386919</v>
      </c>
      <c r="J6" s="172">
        <f>I6/D6</f>
        <v>2.0226976832405943E-3</v>
      </c>
      <c r="K6" s="33">
        <v>291879.84999999998</v>
      </c>
      <c r="L6" s="55">
        <v>1.6369457454662602E-3</v>
      </c>
      <c r="M6" s="242">
        <f>+I6/K6-1</f>
        <v>0.32561052090440645</v>
      </c>
    </row>
    <row r="7" spans="1:13" ht="15" customHeight="1" x14ac:dyDescent="0.2">
      <c r="A7" s="23">
        <v>3</v>
      </c>
      <c r="B7" s="23" t="s">
        <v>2</v>
      </c>
      <c r="C7" s="180"/>
      <c r="D7" s="238"/>
      <c r="E7" s="35"/>
      <c r="F7" s="49" t="s">
        <v>135</v>
      </c>
      <c r="G7" s="35"/>
      <c r="H7" s="49" t="s">
        <v>135</v>
      </c>
      <c r="I7" s="35"/>
      <c r="J7" s="172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80">
        <v>116273475.31</v>
      </c>
      <c r="D8" s="238">
        <v>116648103.17</v>
      </c>
      <c r="E8" s="35">
        <v>111847203.92</v>
      </c>
      <c r="F8" s="464">
        <f>E8/D8</f>
        <v>0.95884288625762482</v>
      </c>
      <c r="G8" s="35">
        <v>111847203.92</v>
      </c>
      <c r="H8" s="464">
        <f>G8/D8</f>
        <v>0.95884288625762482</v>
      </c>
      <c r="I8" s="35">
        <v>14138850.75</v>
      </c>
      <c r="J8" s="466">
        <f>I8/D8</f>
        <v>0.12120943560817612</v>
      </c>
      <c r="K8" s="35">
        <v>8965500</v>
      </c>
      <c r="L8" s="385">
        <v>7.0323200352340048E-2</v>
      </c>
      <c r="M8" s="273">
        <f>+I8/K8-1</f>
        <v>0.5770286933244102</v>
      </c>
    </row>
    <row r="9" spans="1:13" ht="15" customHeight="1" x14ac:dyDescent="0.2">
      <c r="A9" s="9"/>
      <c r="B9" s="2" t="s">
        <v>4</v>
      </c>
      <c r="C9" s="181">
        <f>SUM(C5:C8)</f>
        <v>309902947.29000002</v>
      </c>
      <c r="D9" s="171">
        <f t="shared" ref="D9:I9" si="0">SUM(D5:D8)</f>
        <v>310392705.43000001</v>
      </c>
      <c r="E9" s="92">
        <f t="shared" si="0"/>
        <v>299750643.99000001</v>
      </c>
      <c r="F9" s="98">
        <f>E9/D9</f>
        <v>0.96571420251240403</v>
      </c>
      <c r="G9" s="92">
        <f t="shared" si="0"/>
        <v>299706043.99000001</v>
      </c>
      <c r="H9" s="98">
        <f>G9/D9</f>
        <v>0.96557051356862489</v>
      </c>
      <c r="I9" s="92">
        <f t="shared" si="0"/>
        <v>14877051.470000001</v>
      </c>
      <c r="J9" s="190">
        <f>I9/D9</f>
        <v>4.7929771575624495E-2</v>
      </c>
      <c r="K9" s="92">
        <f>SUM(K5:K8)</f>
        <v>9715993.0299999993</v>
      </c>
      <c r="L9" s="44">
        <v>3.1E-2</v>
      </c>
      <c r="M9" s="246">
        <f>+I9/K9-1</f>
        <v>0.5311920690004861</v>
      </c>
    </row>
    <row r="10" spans="1:13" ht="15" customHeight="1" x14ac:dyDescent="0.2">
      <c r="A10" s="21">
        <v>6</v>
      </c>
      <c r="B10" s="21" t="s">
        <v>5</v>
      </c>
      <c r="C10" s="180">
        <v>725157.47</v>
      </c>
      <c r="D10" s="238">
        <v>995157.47</v>
      </c>
      <c r="E10" s="31">
        <v>0</v>
      </c>
      <c r="F10" s="49">
        <f>E10/D10</f>
        <v>0</v>
      </c>
      <c r="G10" s="154">
        <v>0</v>
      </c>
      <c r="H10" s="49">
        <f>G10/D10</f>
        <v>0</v>
      </c>
      <c r="I10" s="154">
        <v>0</v>
      </c>
      <c r="J10" s="172">
        <f>I10/D10</f>
        <v>0</v>
      </c>
      <c r="K10" s="154">
        <v>25869.23</v>
      </c>
      <c r="L10" s="53">
        <v>8.5957173007652782E-3</v>
      </c>
      <c r="M10" s="258" t="s">
        <v>135</v>
      </c>
    </row>
    <row r="11" spans="1:13" ht="15" customHeight="1" x14ac:dyDescent="0.2">
      <c r="A11" s="25">
        <v>7</v>
      </c>
      <c r="B11" s="25" t="s">
        <v>6</v>
      </c>
      <c r="C11" s="180"/>
      <c r="D11" s="238"/>
      <c r="E11" s="35"/>
      <c r="F11" s="50" t="s">
        <v>135</v>
      </c>
      <c r="G11" s="155"/>
      <c r="H11" s="50" t="s">
        <v>135</v>
      </c>
      <c r="I11" s="155"/>
      <c r="J11" s="256" t="s">
        <v>135</v>
      </c>
      <c r="K11" s="155"/>
      <c r="L11" s="56" t="s">
        <v>135</v>
      </c>
      <c r="M11" s="248" t="s">
        <v>135</v>
      </c>
    </row>
    <row r="12" spans="1:13" ht="15" customHeight="1" x14ac:dyDescent="0.2">
      <c r="A12" s="9"/>
      <c r="B12" s="2" t="s">
        <v>7</v>
      </c>
      <c r="C12" s="181">
        <f>SUM(C10:C11)</f>
        <v>725157.47</v>
      </c>
      <c r="D12" s="171">
        <f t="shared" ref="D12:I12" si="1">SUM(D10:D11)</f>
        <v>995157.47</v>
      </c>
      <c r="E12" s="92">
        <f t="shared" si="1"/>
        <v>0</v>
      </c>
      <c r="F12" s="98">
        <f>E12/D12</f>
        <v>0</v>
      </c>
      <c r="G12" s="92">
        <f t="shared" si="1"/>
        <v>0</v>
      </c>
      <c r="H12" s="98">
        <f>G12/D12</f>
        <v>0</v>
      </c>
      <c r="I12" s="92">
        <f t="shared" si="1"/>
        <v>0</v>
      </c>
      <c r="J12" s="190">
        <f>I12/D12</f>
        <v>0</v>
      </c>
      <c r="K12" s="92">
        <f>SUM(K10:K11)</f>
        <v>25869.23</v>
      </c>
      <c r="L12" s="44">
        <v>8.9999999999999993E-3</v>
      </c>
      <c r="M12" s="259" t="s">
        <v>135</v>
      </c>
    </row>
    <row r="13" spans="1:13" ht="15" customHeight="1" x14ac:dyDescent="0.2">
      <c r="A13" s="21">
        <v>8</v>
      </c>
      <c r="B13" s="21" t="s">
        <v>8</v>
      </c>
      <c r="C13" s="178">
        <v>0</v>
      </c>
      <c r="D13" s="236"/>
      <c r="E13" s="31"/>
      <c r="F13" s="94" t="s">
        <v>135</v>
      </c>
      <c r="G13" s="31"/>
      <c r="H13" s="94" t="s">
        <v>135</v>
      </c>
      <c r="I13" s="31"/>
      <c r="J13" s="255" t="s">
        <v>135</v>
      </c>
      <c r="K13" s="31"/>
      <c r="L13" s="57" t="s">
        <v>135</v>
      </c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>
        <v>0</v>
      </c>
      <c r="D14" s="238"/>
      <c r="E14" s="35"/>
      <c r="F14" s="50" t="s">
        <v>135</v>
      </c>
      <c r="G14" s="35"/>
      <c r="H14" s="50" t="s">
        <v>135</v>
      </c>
      <c r="I14" s="35"/>
      <c r="J14" s="256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2">SUM(D13:D14)</f>
        <v>0</v>
      </c>
      <c r="E15" s="92">
        <f t="shared" si="2"/>
        <v>0</v>
      </c>
      <c r="F15" s="62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7" t="s">
        <v>135</v>
      </c>
      <c r="K15" s="92">
        <f>SUM(K13:K14)</f>
        <v>0</v>
      </c>
      <c r="L15" s="107" t="s">
        <v>135</v>
      </c>
      <c r="M15" s="249" t="s">
        <v>135</v>
      </c>
    </row>
    <row r="16" spans="1:13" s="6" customFormat="1" ht="24" customHeight="1" thickBot="1" x14ac:dyDescent="0.25">
      <c r="A16" s="5"/>
      <c r="B16" s="4" t="s">
        <v>11</v>
      </c>
      <c r="C16" s="182">
        <f>+C9+C12+C15</f>
        <v>310628104.76000005</v>
      </c>
      <c r="D16" s="173">
        <f t="shared" ref="D16:I16" si="3">+D9+D12+D15</f>
        <v>311387862.90000004</v>
      </c>
      <c r="E16" s="174">
        <f t="shared" si="3"/>
        <v>299750643.99000001</v>
      </c>
      <c r="F16" s="202">
        <f>E16/D16</f>
        <v>0.96262789820508443</v>
      </c>
      <c r="G16" s="174">
        <f t="shared" si="3"/>
        <v>299706043.99000001</v>
      </c>
      <c r="H16" s="202">
        <f>G16/D16</f>
        <v>0.96248466847357006</v>
      </c>
      <c r="I16" s="174">
        <f t="shared" si="3"/>
        <v>14877051.470000001</v>
      </c>
      <c r="J16" s="194">
        <f>I16/D16</f>
        <v>4.7776593896267747E-2</v>
      </c>
      <c r="K16" s="165">
        <f>K9+K12+K15</f>
        <v>9741862.2599999998</v>
      </c>
      <c r="L16" s="211">
        <v>3.1E-2</v>
      </c>
      <c r="M16" s="250">
        <f>+I16/K16-1</f>
        <v>0.52712603329294061</v>
      </c>
    </row>
    <row r="20" spans="5:5" x14ac:dyDescent="0.2">
      <c r="E20" s="201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3" workbookViewId="0">
      <selection activeCell="K8" sqref="K8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466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9">
        <v>2363481.65</v>
      </c>
      <c r="D5" s="237">
        <v>2140367.4300000002</v>
      </c>
      <c r="E5" s="33">
        <v>314806.52</v>
      </c>
      <c r="F5" s="49">
        <f>E5/D5</f>
        <v>0.14708059727857101</v>
      </c>
      <c r="G5" s="33">
        <v>314806.52</v>
      </c>
      <c r="H5" s="49">
        <f>G5/D5</f>
        <v>0.14708059727857101</v>
      </c>
      <c r="I5" s="33">
        <v>314806.52</v>
      </c>
      <c r="J5" s="172">
        <f>I5/D5</f>
        <v>0.14708059727857101</v>
      </c>
      <c r="K5" s="31">
        <v>382433.79</v>
      </c>
      <c r="L5" s="53">
        <v>0.15070091188890736</v>
      </c>
      <c r="M5" s="242">
        <f>I5/K5-1</f>
        <v>-0.17683392986796476</v>
      </c>
    </row>
    <row r="6" spans="1:13" ht="15" customHeight="1" x14ac:dyDescent="0.2">
      <c r="A6" s="23">
        <v>2</v>
      </c>
      <c r="B6" s="23" t="s">
        <v>1</v>
      </c>
      <c r="C6" s="179">
        <v>3941110.48</v>
      </c>
      <c r="D6" s="237">
        <v>3804681.73</v>
      </c>
      <c r="E6" s="33">
        <v>3121770.21</v>
      </c>
      <c r="F6" s="49">
        <f>E6/D6</f>
        <v>0.82050758290365589</v>
      </c>
      <c r="G6" s="33">
        <v>2890871.15</v>
      </c>
      <c r="H6" s="49">
        <f>G6/D6</f>
        <v>0.75981944224280751</v>
      </c>
      <c r="I6" s="33">
        <v>5220.54</v>
      </c>
      <c r="J6" s="172">
        <f>I6/D6</f>
        <v>1.3721357975454099E-3</v>
      </c>
      <c r="K6" s="33">
        <v>11922.77</v>
      </c>
      <c r="L6" s="55">
        <v>3.3944610801458115E-3</v>
      </c>
      <c r="M6" s="242">
        <f>I6/K6-1</f>
        <v>-0.56213698662307499</v>
      </c>
    </row>
    <row r="7" spans="1:13" ht="15" customHeight="1" x14ac:dyDescent="0.2">
      <c r="A7" s="23">
        <v>3</v>
      </c>
      <c r="B7" s="23" t="s">
        <v>2</v>
      </c>
      <c r="C7" s="179"/>
      <c r="D7" s="237"/>
      <c r="E7" s="33"/>
      <c r="F7" s="325" t="s">
        <v>135</v>
      </c>
      <c r="G7" s="33"/>
      <c r="H7" s="325" t="s">
        <v>135</v>
      </c>
      <c r="I7" s="33"/>
      <c r="J7" s="199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79">
        <v>300000</v>
      </c>
      <c r="D8" s="237">
        <v>300000</v>
      </c>
      <c r="E8" s="33">
        <v>0</v>
      </c>
      <c r="F8" s="86">
        <f t="shared" ref="F8" si="0">E8/D8</f>
        <v>0</v>
      </c>
      <c r="G8" s="201">
        <v>0</v>
      </c>
      <c r="H8" s="86">
        <f t="shared" ref="H8" si="1">G8/D8</f>
        <v>0</v>
      </c>
      <c r="I8" s="201">
        <v>0</v>
      </c>
      <c r="J8" s="193">
        <f t="shared" ref="J8" si="2">I8/D8</f>
        <v>0</v>
      </c>
      <c r="K8" s="35">
        <v>0</v>
      </c>
      <c r="L8" s="385">
        <v>0</v>
      </c>
      <c r="M8" s="539" t="s">
        <v>135</v>
      </c>
    </row>
    <row r="9" spans="1:13" ht="15" customHeight="1" x14ac:dyDescent="0.2">
      <c r="A9" s="9"/>
      <c r="B9" s="2" t="s">
        <v>4</v>
      </c>
      <c r="C9" s="181">
        <f>SUM(C5:C8)</f>
        <v>6604592.1299999999</v>
      </c>
      <c r="D9" s="171">
        <f t="shared" ref="D9:I9" si="3">SUM(D5:D8)</f>
        <v>6245049.1600000001</v>
      </c>
      <c r="E9" s="92">
        <f t="shared" si="3"/>
        <v>3436576.73</v>
      </c>
      <c r="F9" s="98">
        <f>E9/D9</f>
        <v>0.55028817899649651</v>
      </c>
      <c r="G9" s="92">
        <f t="shared" si="3"/>
        <v>3205677.67</v>
      </c>
      <c r="H9" s="98">
        <f>G9/D9</f>
        <v>0.51331504170257003</v>
      </c>
      <c r="I9" s="92">
        <f t="shared" si="3"/>
        <v>320027.06</v>
      </c>
      <c r="J9" s="190">
        <f>I9/D9</f>
        <v>5.1244922465910579E-2</v>
      </c>
      <c r="K9" s="92">
        <f>SUM(K5:K8)</f>
        <v>394356.56</v>
      </c>
      <c r="L9" s="44">
        <v>5.0999999999999997E-2</v>
      </c>
      <c r="M9" s="246">
        <f>I9/K9-1</f>
        <v>-0.18848298098553251</v>
      </c>
    </row>
    <row r="10" spans="1:13" ht="15" customHeight="1" x14ac:dyDescent="0.2">
      <c r="A10" s="21">
        <v>6</v>
      </c>
      <c r="B10" s="21" t="s">
        <v>5</v>
      </c>
      <c r="C10" s="178"/>
      <c r="D10" s="236"/>
      <c r="E10" s="31"/>
      <c r="F10" s="49" t="s">
        <v>135</v>
      </c>
      <c r="G10" s="154"/>
      <c r="H10" s="49" t="s">
        <v>135</v>
      </c>
      <c r="I10" s="154"/>
      <c r="J10" s="172" t="s">
        <v>135</v>
      </c>
      <c r="K10" s="154"/>
      <c r="L10" s="53" t="s">
        <v>135</v>
      </c>
      <c r="M10" s="258" t="s">
        <v>135</v>
      </c>
    </row>
    <row r="11" spans="1:13" ht="15" customHeight="1" x14ac:dyDescent="0.2">
      <c r="A11" s="25">
        <v>7</v>
      </c>
      <c r="B11" s="25" t="s">
        <v>6</v>
      </c>
      <c r="C11" s="180"/>
      <c r="D11" s="238"/>
      <c r="E11" s="35"/>
      <c r="F11" s="50" t="s">
        <v>135</v>
      </c>
      <c r="G11" s="155"/>
      <c r="H11" s="50" t="s">
        <v>135</v>
      </c>
      <c r="I11" s="155"/>
      <c r="J11" s="256" t="s">
        <v>135</v>
      </c>
      <c r="K11" s="155"/>
      <c r="L11" s="56" t="s">
        <v>135</v>
      </c>
      <c r="M11" s="248" t="s">
        <v>135</v>
      </c>
    </row>
    <row r="12" spans="1:13" ht="15" customHeight="1" x14ac:dyDescent="0.2">
      <c r="A12" s="9"/>
      <c r="B12" s="2" t="s">
        <v>7</v>
      </c>
      <c r="C12" s="181">
        <f>SUM(C10:C11)</f>
        <v>0</v>
      </c>
      <c r="D12" s="171">
        <f t="shared" ref="D12:I12" si="4">SUM(D10:D11)</f>
        <v>0</v>
      </c>
      <c r="E12" s="92">
        <f t="shared" si="4"/>
        <v>0</v>
      </c>
      <c r="F12" s="98" t="s">
        <v>135</v>
      </c>
      <c r="G12" s="92">
        <f t="shared" si="4"/>
        <v>0</v>
      </c>
      <c r="H12" s="98" t="s">
        <v>135</v>
      </c>
      <c r="I12" s="92">
        <f t="shared" si="4"/>
        <v>0</v>
      </c>
      <c r="J12" s="257" t="s">
        <v>135</v>
      </c>
      <c r="K12" s="92"/>
      <c r="L12" s="44" t="s">
        <v>135</v>
      </c>
      <c r="M12" s="259" t="s">
        <v>135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94" t="s">
        <v>135</v>
      </c>
      <c r="G13" s="31"/>
      <c r="H13" s="94" t="s">
        <v>135</v>
      </c>
      <c r="I13" s="31"/>
      <c r="J13" s="255" t="s">
        <v>135</v>
      </c>
      <c r="K13" s="31"/>
      <c r="L13" s="57" t="s">
        <v>135</v>
      </c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50" t="s">
        <v>135</v>
      </c>
      <c r="G14" s="35"/>
      <c r="H14" s="50" t="s">
        <v>135</v>
      </c>
      <c r="I14" s="35"/>
      <c r="J14" s="256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5">SUM(D13:D14)</f>
        <v>0</v>
      </c>
      <c r="E15" s="92">
        <f t="shared" si="5"/>
        <v>0</v>
      </c>
      <c r="F15" s="62" t="s">
        <v>135</v>
      </c>
      <c r="G15" s="92">
        <f t="shared" si="5"/>
        <v>0</v>
      </c>
      <c r="H15" s="62" t="s">
        <v>135</v>
      </c>
      <c r="I15" s="92">
        <f t="shared" si="5"/>
        <v>0</v>
      </c>
      <c r="J15" s="257" t="s">
        <v>135</v>
      </c>
      <c r="K15" s="92"/>
      <c r="L15" s="107" t="s">
        <v>135</v>
      </c>
      <c r="M15" s="249" t="s">
        <v>135</v>
      </c>
    </row>
    <row r="16" spans="1:13" s="6" customFormat="1" ht="24" customHeight="1" thickBot="1" x14ac:dyDescent="0.25">
      <c r="A16" s="5"/>
      <c r="B16" s="4" t="s">
        <v>11</v>
      </c>
      <c r="C16" s="182">
        <f>+C9+C12+C15</f>
        <v>6604592.1299999999</v>
      </c>
      <c r="D16" s="173">
        <f t="shared" ref="D16:I16" si="6">+D9+D12+D15</f>
        <v>6245049.1600000001</v>
      </c>
      <c r="E16" s="174">
        <f t="shared" si="6"/>
        <v>3436576.73</v>
      </c>
      <c r="F16" s="202">
        <f>E16/D16</f>
        <v>0.55028817899649651</v>
      </c>
      <c r="G16" s="174">
        <f t="shared" si="6"/>
        <v>3205677.67</v>
      </c>
      <c r="H16" s="202">
        <f>G16/D16</f>
        <v>0.51331504170257003</v>
      </c>
      <c r="I16" s="174">
        <f t="shared" si="6"/>
        <v>320027.06</v>
      </c>
      <c r="J16" s="194">
        <f>I16/D16</f>
        <v>5.1244922465910579E-2</v>
      </c>
      <c r="K16" s="165">
        <f>K9+K12+K15</f>
        <v>394356.56</v>
      </c>
      <c r="L16" s="211">
        <v>5.0999999999999997E-2</v>
      </c>
      <c r="M16" s="250">
        <f>I16/K16-1</f>
        <v>-0.18848298098553251</v>
      </c>
    </row>
    <row r="21" spans="5:5" x14ac:dyDescent="0.2">
      <c r="E21" s="201"/>
    </row>
  </sheetData>
  <mergeCells count="2">
    <mergeCell ref="D2:J2"/>
    <mergeCell ref="K2:L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3" workbookViewId="0">
      <selection activeCell="M13" sqref="M1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472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9">
        <v>2564243.41</v>
      </c>
      <c r="D5" s="237">
        <v>2567210.29</v>
      </c>
      <c r="E5" s="33">
        <v>366680.09</v>
      </c>
      <c r="F5" s="49">
        <f>E5/D5</f>
        <v>0.14283212069861251</v>
      </c>
      <c r="G5" s="33">
        <v>366680.09</v>
      </c>
      <c r="H5" s="49">
        <f>G5/D5</f>
        <v>0.14283212069861251</v>
      </c>
      <c r="I5" s="33">
        <v>366680.09</v>
      </c>
      <c r="J5" s="172">
        <f>I5/D5</f>
        <v>0.14283212069861251</v>
      </c>
      <c r="K5" s="31">
        <v>338921.23</v>
      </c>
      <c r="L5" s="53">
        <v>0.15113336816719189</v>
      </c>
      <c r="M5" s="242">
        <f>I5/K5-1</f>
        <v>8.1903573877623481E-2</v>
      </c>
    </row>
    <row r="6" spans="1:13" ht="15" customHeight="1" x14ac:dyDescent="0.2">
      <c r="A6" s="23">
        <v>2</v>
      </c>
      <c r="B6" s="23" t="s">
        <v>1</v>
      </c>
      <c r="C6" s="179">
        <v>33849543.229999997</v>
      </c>
      <c r="D6" s="237">
        <v>33018468.23</v>
      </c>
      <c r="E6" s="33">
        <v>25894681.239999998</v>
      </c>
      <c r="F6" s="49">
        <f>E6/D6</f>
        <v>0.7842484109081882</v>
      </c>
      <c r="G6" s="33">
        <v>25178021.190000001</v>
      </c>
      <c r="H6" s="49">
        <f>G6/D6</f>
        <v>0.76254358665626087</v>
      </c>
      <c r="I6" s="33">
        <v>1460120.53</v>
      </c>
      <c r="J6" s="199">
        <f>I6/D6</f>
        <v>4.4221328494983309E-2</v>
      </c>
      <c r="K6" s="33">
        <v>2428696.84</v>
      </c>
      <c r="L6" s="55">
        <v>9.0397918853851011E-2</v>
      </c>
      <c r="M6" s="242" t="s">
        <v>135</v>
      </c>
    </row>
    <row r="7" spans="1:13" ht="15" customHeight="1" x14ac:dyDescent="0.2">
      <c r="A7" s="23">
        <v>3</v>
      </c>
      <c r="B7" s="23" t="s">
        <v>2</v>
      </c>
      <c r="C7" s="179"/>
      <c r="D7" s="237"/>
      <c r="E7" s="33"/>
      <c r="F7" s="325" t="s">
        <v>135</v>
      </c>
      <c r="G7" s="33"/>
      <c r="H7" s="325" t="s">
        <v>135</v>
      </c>
      <c r="I7" s="33"/>
      <c r="J7" s="199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79">
        <v>7033702.4500000002</v>
      </c>
      <c r="D8" s="237">
        <v>7033702.4500000002</v>
      </c>
      <c r="E8" s="33">
        <v>6839302.4500000002</v>
      </c>
      <c r="F8" s="86">
        <f>E8/D8</f>
        <v>0.97236164006340642</v>
      </c>
      <c r="G8" s="33">
        <v>6839302.4500000002</v>
      </c>
      <c r="H8" s="86" t="s">
        <v>135</v>
      </c>
      <c r="I8" s="33">
        <v>335000</v>
      </c>
      <c r="J8" s="193">
        <f>I8/D8</f>
        <v>4.7627832195261545E-2</v>
      </c>
      <c r="K8" s="35">
        <v>335000</v>
      </c>
      <c r="L8" s="385">
        <v>4.7627832195261545E-2</v>
      </c>
      <c r="M8" s="539">
        <f>I8/K8-1</f>
        <v>0</v>
      </c>
    </row>
    <row r="9" spans="1:13" ht="15" customHeight="1" x14ac:dyDescent="0.2">
      <c r="A9" s="9"/>
      <c r="B9" s="2" t="s">
        <v>4</v>
      </c>
      <c r="C9" s="181">
        <f>SUM(C5:C8)</f>
        <v>43447489.090000004</v>
      </c>
      <c r="D9" s="171">
        <f t="shared" ref="D9:K9" si="0">SUM(D5:D8)</f>
        <v>42619380.970000006</v>
      </c>
      <c r="E9" s="92">
        <f t="shared" si="0"/>
        <v>33100663.779999997</v>
      </c>
      <c r="F9" s="98">
        <f>E9/D9</f>
        <v>0.77665754468136738</v>
      </c>
      <c r="G9" s="92">
        <f t="shared" si="0"/>
        <v>32384003.73</v>
      </c>
      <c r="H9" s="98">
        <f>G9/D9</f>
        <v>0.75984218899836342</v>
      </c>
      <c r="I9" s="92">
        <f t="shared" si="0"/>
        <v>2161800.62</v>
      </c>
      <c r="J9" s="190">
        <f>I9/D9</f>
        <v>5.0723416689737989E-2</v>
      </c>
      <c r="K9" s="92">
        <f t="shared" si="0"/>
        <v>3102618.07</v>
      </c>
      <c r="L9" s="44">
        <v>8.5999999999999993E-2</v>
      </c>
      <c r="M9" s="246">
        <f>I9/K9-1</f>
        <v>-0.30323340764917284</v>
      </c>
    </row>
    <row r="10" spans="1:13" ht="15" customHeight="1" x14ac:dyDescent="0.2">
      <c r="A10" s="21">
        <v>6</v>
      </c>
      <c r="B10" s="21" t="s">
        <v>5</v>
      </c>
      <c r="C10" s="179">
        <v>13187153.26</v>
      </c>
      <c r="D10" s="237">
        <v>17224818.23</v>
      </c>
      <c r="E10" s="31">
        <v>12949922.41</v>
      </c>
      <c r="F10" s="49">
        <f>E10/D10</f>
        <v>0.75181765270796708</v>
      </c>
      <c r="G10" s="154">
        <v>12682543.02</v>
      </c>
      <c r="H10" s="49">
        <f>G10/D10</f>
        <v>0.73629473766586151</v>
      </c>
      <c r="I10" s="154">
        <v>2389484.77</v>
      </c>
      <c r="J10" s="172">
        <f>I10/D10</f>
        <v>0.13872336637133847</v>
      </c>
      <c r="K10" s="154">
        <v>211311.81</v>
      </c>
      <c r="L10" s="53">
        <v>1.6133820042635891E-2</v>
      </c>
      <c r="M10" s="258" t="s">
        <v>135</v>
      </c>
    </row>
    <row r="11" spans="1:13" ht="15" customHeight="1" x14ac:dyDescent="0.2">
      <c r="A11" s="25">
        <v>7</v>
      </c>
      <c r="B11" s="25" t="s">
        <v>6</v>
      </c>
      <c r="C11" s="180"/>
      <c r="D11" s="238"/>
      <c r="E11" s="35"/>
      <c r="F11" s="50" t="s">
        <v>135</v>
      </c>
      <c r="G11" s="155"/>
      <c r="H11" s="50" t="s">
        <v>135</v>
      </c>
      <c r="I11" s="155"/>
      <c r="J11" s="256" t="s">
        <v>135</v>
      </c>
      <c r="K11" s="155"/>
      <c r="L11" s="56"/>
      <c r="M11" s="248" t="s">
        <v>135</v>
      </c>
    </row>
    <row r="12" spans="1:13" ht="15" customHeight="1" x14ac:dyDescent="0.2">
      <c r="A12" s="9"/>
      <c r="B12" s="2" t="s">
        <v>7</v>
      </c>
      <c r="C12" s="181">
        <f>SUM(C10:C11)</f>
        <v>13187153.26</v>
      </c>
      <c r="D12" s="171">
        <f t="shared" ref="D12:K12" si="1">SUM(D10:D11)</f>
        <v>17224818.23</v>
      </c>
      <c r="E12" s="92">
        <f t="shared" si="1"/>
        <v>12949922.41</v>
      </c>
      <c r="F12" s="98">
        <f>E12/D12</f>
        <v>0.75181765270796708</v>
      </c>
      <c r="G12" s="92">
        <f t="shared" si="1"/>
        <v>12682543.02</v>
      </c>
      <c r="H12" s="98">
        <f>G12/D12</f>
        <v>0.73629473766586151</v>
      </c>
      <c r="I12" s="92">
        <f t="shared" si="1"/>
        <v>2389484.77</v>
      </c>
      <c r="J12" s="190">
        <f>I12/D12</f>
        <v>0.13872336637133847</v>
      </c>
      <c r="K12" s="92">
        <f t="shared" si="1"/>
        <v>211311.81</v>
      </c>
      <c r="L12" s="44">
        <v>1.6133820042635891E-2</v>
      </c>
      <c r="M12" s="246" t="s">
        <v>135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94" t="s">
        <v>135</v>
      </c>
      <c r="G13" s="31"/>
      <c r="H13" s="94" t="s">
        <v>135</v>
      </c>
      <c r="I13" s="31"/>
      <c r="J13" s="255" t="s">
        <v>135</v>
      </c>
      <c r="K13" s="31"/>
      <c r="L13" s="57" t="s">
        <v>135</v>
      </c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50" t="s">
        <v>135</v>
      </c>
      <c r="G14" s="35"/>
      <c r="H14" s="50" t="s">
        <v>135</v>
      </c>
      <c r="I14" s="35"/>
      <c r="J14" s="256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K15" si="2">SUM(D13:D14)</f>
        <v>0</v>
      </c>
      <c r="E15" s="92">
        <f t="shared" si="2"/>
        <v>0</v>
      </c>
      <c r="F15" s="62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7" t="s">
        <v>135</v>
      </c>
      <c r="K15" s="92">
        <f t="shared" si="2"/>
        <v>0</v>
      </c>
      <c r="L15" s="107" t="s">
        <v>135</v>
      </c>
      <c r="M15" s="249" t="s">
        <v>135</v>
      </c>
    </row>
    <row r="16" spans="1:13" s="6" customFormat="1" ht="24" customHeight="1" thickBot="1" x14ac:dyDescent="0.25">
      <c r="A16" s="5"/>
      <c r="B16" s="4" t="s">
        <v>11</v>
      </c>
      <c r="C16" s="182">
        <f>+C9+C12+C15</f>
        <v>56634642.350000001</v>
      </c>
      <c r="D16" s="173">
        <f t="shared" ref="D16:K16" si="3">+D9+D12+D15</f>
        <v>59844199.200000003</v>
      </c>
      <c r="E16" s="174">
        <f t="shared" si="3"/>
        <v>46050586.189999998</v>
      </c>
      <c r="F16" s="202">
        <f>E16/D16</f>
        <v>0.76950793569980624</v>
      </c>
      <c r="G16" s="174">
        <f t="shared" si="3"/>
        <v>45066546.75</v>
      </c>
      <c r="H16" s="202">
        <f>G16/D16</f>
        <v>0.75306458023420253</v>
      </c>
      <c r="I16" s="174">
        <f t="shared" si="3"/>
        <v>4551285.3900000006</v>
      </c>
      <c r="J16" s="194">
        <f>I16/D16</f>
        <v>7.605223983012209E-2</v>
      </c>
      <c r="K16" s="165">
        <f t="shared" si="3"/>
        <v>3313929.88</v>
      </c>
      <c r="L16" s="211">
        <v>6.7000000000000004E-2</v>
      </c>
      <c r="M16" s="250" t="s">
        <v>135</v>
      </c>
    </row>
    <row r="21" spans="5:5" x14ac:dyDescent="0.2">
      <c r="E21" s="201"/>
    </row>
    <row r="22" spans="5:5" x14ac:dyDescent="0.2">
      <c r="E22" s="201"/>
    </row>
    <row r="23" spans="5:5" x14ac:dyDescent="0.2">
      <c r="E23" s="201"/>
    </row>
    <row r="24" spans="5:5" x14ac:dyDescent="0.2">
      <c r="E24" s="201"/>
    </row>
  </sheetData>
  <mergeCells count="2">
    <mergeCell ref="D2:J2"/>
    <mergeCell ref="K2:L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6"/>
  <sheetViews>
    <sheetView topLeftCell="A2" zoomScaleNormal="100" workbookViewId="0">
      <selection activeCell="L11" sqref="L1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1" spans="1:13" ht="15.75" thickBot="1" x14ac:dyDescent="0.3">
      <c r="A1" s="7" t="s">
        <v>439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80">
        <v>5713163.5999999996</v>
      </c>
      <c r="D5" s="237">
        <v>5657579.0300000003</v>
      </c>
      <c r="E5" s="33">
        <v>844280.35</v>
      </c>
      <c r="F5" s="49">
        <f>E5/D5</f>
        <v>0.14922997019097758</v>
      </c>
      <c r="G5" s="33">
        <v>824636.35</v>
      </c>
      <c r="H5" s="49">
        <f>G5/D5</f>
        <v>0.14575781365620621</v>
      </c>
      <c r="I5" s="33">
        <v>824636.35</v>
      </c>
      <c r="J5" s="172">
        <f>I5/D5</f>
        <v>0.14575781365620621</v>
      </c>
      <c r="K5" s="31">
        <v>800746.65999999992</v>
      </c>
      <c r="L5" s="53">
        <v>0.1447517287351231</v>
      </c>
      <c r="M5" s="242">
        <f>+I5/K5-1</f>
        <v>2.9834267432348849E-2</v>
      </c>
    </row>
    <row r="6" spans="1:13" ht="15" customHeight="1" x14ac:dyDescent="0.2">
      <c r="A6" s="23">
        <v>2</v>
      </c>
      <c r="B6" s="23" t="s">
        <v>1</v>
      </c>
      <c r="C6" s="180">
        <v>22783832.760000002</v>
      </c>
      <c r="D6" s="237">
        <v>22497832.760000002</v>
      </c>
      <c r="E6" s="33">
        <v>18753025.52</v>
      </c>
      <c r="F6" s="49">
        <f>E6/D6</f>
        <v>0.83354808972275418</v>
      </c>
      <c r="G6" s="33">
        <v>17480283.579999998</v>
      </c>
      <c r="H6" s="49">
        <f>G6/D6</f>
        <v>0.77697633218605178</v>
      </c>
      <c r="I6" s="33">
        <v>1235180.45</v>
      </c>
      <c r="J6" s="172">
        <f>I6/D6</f>
        <v>5.490219716612383E-2</v>
      </c>
      <c r="K6" s="33">
        <v>65041.08</v>
      </c>
      <c r="L6" s="55">
        <v>9.8645581347842643E-3</v>
      </c>
      <c r="M6" s="242">
        <f>+I6/K6-1</f>
        <v>17.990773984687831</v>
      </c>
    </row>
    <row r="7" spans="1:13" ht="15" customHeight="1" x14ac:dyDescent="0.2">
      <c r="A7" s="23">
        <v>3</v>
      </c>
      <c r="B7" s="23" t="s">
        <v>2</v>
      </c>
      <c r="C7" s="180"/>
      <c r="D7" s="237"/>
      <c r="E7" s="33"/>
      <c r="F7" s="27" t="s">
        <v>135</v>
      </c>
      <c r="G7" s="33"/>
      <c r="H7" s="27" t="s">
        <v>135</v>
      </c>
      <c r="I7" s="33"/>
      <c r="J7" s="265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80">
        <v>100625879.98</v>
      </c>
      <c r="D8" s="237">
        <v>88658719.159999996</v>
      </c>
      <c r="E8" s="33">
        <v>44858305.75</v>
      </c>
      <c r="F8" s="464">
        <f>E8/D8</f>
        <v>0.50596609307027574</v>
      </c>
      <c r="G8" s="33">
        <v>43658305.75</v>
      </c>
      <c r="H8" s="464">
        <f>G8/D8</f>
        <v>0.49243104528964643</v>
      </c>
      <c r="I8" s="33">
        <v>17695696.629999999</v>
      </c>
      <c r="J8" s="466">
        <f>I8/D8</f>
        <v>0.19959341616547666</v>
      </c>
      <c r="K8" s="35">
        <v>13134101.93</v>
      </c>
      <c r="L8" s="385">
        <v>0.17782226180614996</v>
      </c>
      <c r="M8" s="539">
        <f>+I8/K8-1</f>
        <v>0.34730922025058475</v>
      </c>
    </row>
    <row r="9" spans="1:13" ht="15" customHeight="1" x14ac:dyDescent="0.2">
      <c r="A9" s="9"/>
      <c r="B9" s="2" t="s">
        <v>4</v>
      </c>
      <c r="C9" s="181">
        <f>SUM(C5:C8)</f>
        <v>129122876.34</v>
      </c>
      <c r="D9" s="171">
        <f t="shared" ref="D9:I9" si="0">SUM(D5:D8)</f>
        <v>116814130.95</v>
      </c>
      <c r="E9" s="92">
        <f t="shared" si="0"/>
        <v>64455611.620000005</v>
      </c>
      <c r="F9" s="98">
        <f>E9/D9</f>
        <v>0.55177923334967893</v>
      </c>
      <c r="G9" s="92">
        <f t="shared" si="0"/>
        <v>61963225.68</v>
      </c>
      <c r="H9" s="98">
        <f>G9/D9</f>
        <v>0.53044289398961619</v>
      </c>
      <c r="I9" s="92">
        <f t="shared" si="0"/>
        <v>19755513.43</v>
      </c>
      <c r="J9" s="190">
        <f>I9/D9</f>
        <v>0.16911920903179051</v>
      </c>
      <c r="K9" s="92">
        <f>SUM(K5:K8)</f>
        <v>13999889.67</v>
      </c>
      <c r="L9" s="44">
        <v>0.16300000000000001</v>
      </c>
      <c r="M9" s="246">
        <f>+I9/K9-1</f>
        <v>0.41111922277027491</v>
      </c>
    </row>
    <row r="10" spans="1:13" ht="15" customHeight="1" x14ac:dyDescent="0.2">
      <c r="A10" s="21">
        <v>6</v>
      </c>
      <c r="B10" s="21" t="s">
        <v>5</v>
      </c>
      <c r="C10" s="180">
        <v>35600</v>
      </c>
      <c r="D10" s="237">
        <v>35600</v>
      </c>
      <c r="E10" s="35">
        <v>30000</v>
      </c>
      <c r="F10" s="49">
        <f>E10/D10</f>
        <v>0.84269662921348309</v>
      </c>
      <c r="G10" s="155">
        <v>0</v>
      </c>
      <c r="H10" s="49">
        <f>G10/D10</f>
        <v>0</v>
      </c>
      <c r="I10" s="155">
        <v>0</v>
      </c>
      <c r="J10" s="172">
        <f>I10/D10</f>
        <v>0</v>
      </c>
      <c r="K10" s="154">
        <v>175.45</v>
      </c>
      <c r="L10" s="53" t="s">
        <v>135</v>
      </c>
      <c r="M10" s="242" t="s">
        <v>135</v>
      </c>
    </row>
    <row r="11" spans="1:13" ht="15" customHeight="1" x14ac:dyDescent="0.2">
      <c r="A11" s="25">
        <v>7</v>
      </c>
      <c r="B11" s="25" t="s">
        <v>6</v>
      </c>
      <c r="C11" s="180"/>
      <c r="D11" s="238"/>
      <c r="E11" s="35"/>
      <c r="F11" s="50" t="s">
        <v>135</v>
      </c>
      <c r="G11" s="155"/>
      <c r="H11" s="50" t="s">
        <v>135</v>
      </c>
      <c r="I11" s="155"/>
      <c r="J11" s="256" t="s">
        <v>135</v>
      </c>
      <c r="K11" s="155"/>
      <c r="L11" s="56"/>
      <c r="M11" s="248" t="s">
        <v>135</v>
      </c>
    </row>
    <row r="12" spans="1:13" ht="15" customHeight="1" x14ac:dyDescent="0.2">
      <c r="A12" s="9"/>
      <c r="B12" s="2" t="s">
        <v>7</v>
      </c>
      <c r="C12" s="181">
        <f>SUM(C10:C11)</f>
        <v>35600</v>
      </c>
      <c r="D12" s="171">
        <f t="shared" ref="D12:I12" si="1">SUM(D10:D11)</f>
        <v>35600</v>
      </c>
      <c r="E12" s="92">
        <f t="shared" si="1"/>
        <v>30000</v>
      </c>
      <c r="F12" s="98">
        <f>E12/D12</f>
        <v>0.84269662921348309</v>
      </c>
      <c r="G12" s="92">
        <f t="shared" si="1"/>
        <v>0</v>
      </c>
      <c r="H12" s="98">
        <f>G12/D12</f>
        <v>0</v>
      </c>
      <c r="I12" s="92">
        <f t="shared" si="1"/>
        <v>0</v>
      </c>
      <c r="J12" s="190">
        <f>I12/D12</f>
        <v>0</v>
      </c>
      <c r="K12" s="92">
        <f>SUM(K10:K11)</f>
        <v>175.45</v>
      </c>
      <c r="L12" s="44" t="s">
        <v>135</v>
      </c>
      <c r="M12" s="246" t="s">
        <v>135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49" t="s">
        <v>135</v>
      </c>
      <c r="G13" s="31"/>
      <c r="H13" s="49" t="s">
        <v>135</v>
      </c>
      <c r="I13" s="31"/>
      <c r="J13" s="172" t="s">
        <v>135</v>
      </c>
      <c r="K13" s="31"/>
      <c r="L13" s="53" t="s">
        <v>135</v>
      </c>
      <c r="M13" s="242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29" t="s">
        <v>135</v>
      </c>
      <c r="G14" s="35"/>
      <c r="H14" s="29" t="s">
        <v>135</v>
      </c>
      <c r="I14" s="35"/>
      <c r="J14" s="261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2">SUM(D13:D14)</f>
        <v>0</v>
      </c>
      <c r="E15" s="393">
        <f>E13+E14</f>
        <v>0</v>
      </c>
      <c r="F15" s="98" t="s">
        <v>135</v>
      </c>
      <c r="G15" s="108">
        <f t="shared" si="2"/>
        <v>0</v>
      </c>
      <c r="H15" s="98" t="s">
        <v>135</v>
      </c>
      <c r="I15" s="92">
        <f t="shared" si="2"/>
        <v>0</v>
      </c>
      <c r="J15" s="190" t="s">
        <v>135</v>
      </c>
      <c r="K15" s="92">
        <f>SUM(K13:K14)</f>
        <v>0</v>
      </c>
      <c r="L15" s="44" t="s">
        <v>135</v>
      </c>
      <c r="M15" s="266" t="s">
        <v>135</v>
      </c>
    </row>
    <row r="16" spans="1:13" s="6" customFormat="1" ht="19.5" customHeight="1" thickBot="1" x14ac:dyDescent="0.25">
      <c r="A16" s="5"/>
      <c r="B16" s="4" t="s">
        <v>11</v>
      </c>
      <c r="C16" s="182">
        <f>+C9+C12+C15</f>
        <v>129158476.34</v>
      </c>
      <c r="D16" s="173">
        <f t="shared" ref="D16:I16" si="3">+D9+D12+D15</f>
        <v>116849730.95</v>
      </c>
      <c r="E16" s="174">
        <f t="shared" si="3"/>
        <v>64485611.620000005</v>
      </c>
      <c r="F16" s="202">
        <f>E16/D16</f>
        <v>0.55186786564013057</v>
      </c>
      <c r="G16" s="174">
        <f t="shared" si="3"/>
        <v>61963225.68</v>
      </c>
      <c r="H16" s="202">
        <f>G16/D16</f>
        <v>0.53028128671099861</v>
      </c>
      <c r="I16" s="174">
        <f t="shared" si="3"/>
        <v>19755513.43</v>
      </c>
      <c r="J16" s="194">
        <f>I16/D16</f>
        <v>0.16906768436166433</v>
      </c>
      <c r="K16" s="165">
        <f>K9+K12+K15</f>
        <v>14000065.119999999</v>
      </c>
      <c r="L16" s="537">
        <v>0.16300000000000001</v>
      </c>
      <c r="M16" s="208">
        <f>+I16/K16-1</f>
        <v>0.41110153850484377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
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17"/>
  <sheetViews>
    <sheetView topLeftCell="A4" zoomScaleNormal="100" workbookViewId="0">
      <selection activeCell="J22" sqref="J2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.75" thickBot="1" x14ac:dyDescent="0.3">
      <c r="A1" s="7" t="s">
        <v>133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8">
        <v>10444917.35</v>
      </c>
      <c r="D5" s="236">
        <v>9094887.6400000006</v>
      </c>
      <c r="E5" s="31">
        <v>243575.46</v>
      </c>
      <c r="F5" s="49">
        <f>E5/D5</f>
        <v>2.6781579898660517E-2</v>
      </c>
      <c r="G5" s="31">
        <v>243575.46</v>
      </c>
      <c r="H5" s="49">
        <f>G5/D5</f>
        <v>2.6781579898660517E-2</v>
      </c>
      <c r="I5" s="31">
        <v>243575.46</v>
      </c>
      <c r="J5" s="172">
        <f>I5/D5</f>
        <v>2.6781579898660517E-2</v>
      </c>
      <c r="K5" s="31">
        <v>249169.35</v>
      </c>
      <c r="L5" s="53">
        <v>3.7813857103691222E-2</v>
      </c>
      <c r="M5" s="242">
        <f>+I5/K5-1</f>
        <v>-2.2450152877952378E-2</v>
      </c>
    </row>
    <row r="6" spans="1:13" ht="15" customHeight="1" x14ac:dyDescent="0.2">
      <c r="A6" s="23">
        <v>2</v>
      </c>
      <c r="B6" s="23" t="s">
        <v>1</v>
      </c>
      <c r="C6" s="178">
        <v>4077215.92</v>
      </c>
      <c r="D6" s="236">
        <v>4077215.92</v>
      </c>
      <c r="E6" s="31">
        <v>938375.32</v>
      </c>
      <c r="F6" s="49">
        <f t="shared" ref="F6:F17" si="0">E6/D6</f>
        <v>0.23015099970472008</v>
      </c>
      <c r="G6" s="31">
        <v>938375.32</v>
      </c>
      <c r="H6" s="325">
        <f t="shared" ref="H6:H17" si="1">G6/D6</f>
        <v>0.23015099970472008</v>
      </c>
      <c r="I6" s="31">
        <v>158930.63</v>
      </c>
      <c r="J6" s="199">
        <f t="shared" ref="J6:J17" si="2">I6/D6</f>
        <v>3.8980184792371753E-2</v>
      </c>
      <c r="K6" s="33">
        <v>1433169.35</v>
      </c>
      <c r="L6" s="385">
        <v>6.7331236329198726E-2</v>
      </c>
      <c r="M6" s="243"/>
    </row>
    <row r="7" spans="1:13" ht="15" customHeight="1" x14ac:dyDescent="0.2">
      <c r="A7" s="23">
        <v>3</v>
      </c>
      <c r="B7" s="23" t="s">
        <v>2</v>
      </c>
      <c r="C7" s="178">
        <v>34707752.200000003</v>
      </c>
      <c r="D7" s="236">
        <v>34707752.200000003</v>
      </c>
      <c r="E7" s="31">
        <v>6668739.5199999996</v>
      </c>
      <c r="F7" s="49">
        <f t="shared" si="0"/>
        <v>0.19213976985810102</v>
      </c>
      <c r="G7" s="31">
        <v>6668739.5199999996</v>
      </c>
      <c r="H7" s="325">
        <f t="shared" si="1"/>
        <v>0.19213976985810102</v>
      </c>
      <c r="I7" s="31">
        <v>6668739.5199999996</v>
      </c>
      <c r="J7" s="199">
        <f t="shared" si="2"/>
        <v>0.19213976985810102</v>
      </c>
      <c r="K7" s="33">
        <v>10502428.630000001</v>
      </c>
      <c r="L7" s="53">
        <v>0.26498298797782777</v>
      </c>
      <c r="M7" s="244">
        <f t="shared" ref="M7:M17" si="3">+I7/K7-1</f>
        <v>-0.36502881810109489</v>
      </c>
    </row>
    <row r="8" spans="1:13" ht="15" customHeight="1" x14ac:dyDescent="0.2">
      <c r="A8" s="25">
        <v>4</v>
      </c>
      <c r="B8" s="25" t="s">
        <v>3</v>
      </c>
      <c r="C8" s="178">
        <v>280876027.86000001</v>
      </c>
      <c r="D8" s="236">
        <v>280506761.72000003</v>
      </c>
      <c r="E8" s="31">
        <v>192308819.99000001</v>
      </c>
      <c r="F8" s="464">
        <f t="shared" si="0"/>
        <v>0.6855764146675416</v>
      </c>
      <c r="G8" s="31">
        <v>192308819.99000001</v>
      </c>
      <c r="H8" s="464">
        <f t="shared" si="1"/>
        <v>0.6855764146675416</v>
      </c>
      <c r="I8" s="31">
        <v>36781208.329999998</v>
      </c>
      <c r="J8" s="466">
        <f t="shared" si="2"/>
        <v>0.13112414155176322</v>
      </c>
      <c r="K8" s="35">
        <v>32616405.260000002</v>
      </c>
      <c r="L8" s="385">
        <v>0.1331890596914134</v>
      </c>
      <c r="M8" s="539">
        <f t="shared" si="3"/>
        <v>0.12769043788855594</v>
      </c>
    </row>
    <row r="9" spans="1:13" ht="15" customHeight="1" x14ac:dyDescent="0.2">
      <c r="A9" s="59">
        <v>5</v>
      </c>
      <c r="B9" s="59" t="s">
        <v>487</v>
      </c>
      <c r="C9" s="178">
        <v>3627500</v>
      </c>
      <c r="D9" s="236">
        <v>750000</v>
      </c>
      <c r="E9" s="31">
        <v>0</v>
      </c>
      <c r="F9" s="86">
        <f t="shared" si="0"/>
        <v>0</v>
      </c>
      <c r="G9" s="31">
        <v>0</v>
      </c>
      <c r="H9" s="86">
        <f t="shared" si="1"/>
        <v>0</v>
      </c>
      <c r="I9" s="31">
        <v>0</v>
      </c>
      <c r="J9" s="193">
        <f t="shared" si="2"/>
        <v>0</v>
      </c>
      <c r="K9" s="251">
        <v>0</v>
      </c>
      <c r="L9" s="61">
        <v>0</v>
      </c>
      <c r="M9" s="287" t="s">
        <v>135</v>
      </c>
    </row>
    <row r="10" spans="1:13" ht="15" customHeight="1" x14ac:dyDescent="0.2">
      <c r="A10" s="9"/>
      <c r="B10" s="2" t="s">
        <v>4</v>
      </c>
      <c r="C10" s="181">
        <f>SUM(C5:C9)</f>
        <v>333733413.33000004</v>
      </c>
      <c r="D10" s="171">
        <f t="shared" ref="D10:E10" si="4">SUM(D5:D9)</f>
        <v>329136617.48000002</v>
      </c>
      <c r="E10" s="92">
        <f t="shared" si="4"/>
        <v>200159510.29000002</v>
      </c>
      <c r="F10" s="98">
        <f t="shared" si="0"/>
        <v>0.60813504076969715</v>
      </c>
      <c r="G10" s="92">
        <f>SUM(G5:G9)</f>
        <v>200159510.29000002</v>
      </c>
      <c r="H10" s="98">
        <f t="shared" si="1"/>
        <v>0.60813504076969715</v>
      </c>
      <c r="I10" s="92">
        <f>SUM(I5:I9)</f>
        <v>43852453.939999998</v>
      </c>
      <c r="J10" s="190">
        <f t="shared" si="2"/>
        <v>0.13323480770918689</v>
      </c>
      <c r="K10" s="92">
        <f>SUM(K5:K9)</f>
        <v>44801172.590000004</v>
      </c>
      <c r="L10" s="44">
        <v>0.13800000000000001</v>
      </c>
      <c r="M10" s="162">
        <f t="shared" si="3"/>
        <v>-2.1176201316921994E-2</v>
      </c>
    </row>
    <row r="11" spans="1:13" ht="15" customHeight="1" x14ac:dyDescent="0.2">
      <c r="A11" s="21">
        <v>6</v>
      </c>
      <c r="B11" s="21" t="s">
        <v>5</v>
      </c>
      <c r="C11" s="178">
        <v>315702537.30000001</v>
      </c>
      <c r="D11" s="236">
        <v>291960233.49000001</v>
      </c>
      <c r="E11" s="31">
        <v>65144150.780000001</v>
      </c>
      <c r="F11" s="49">
        <f t="shared" si="0"/>
        <v>0.22312679367764401</v>
      </c>
      <c r="G11" s="31">
        <v>65144150.780000001</v>
      </c>
      <c r="H11" s="49">
        <f t="shared" si="1"/>
        <v>0.22312679367764401</v>
      </c>
      <c r="I11" s="31">
        <v>31637516.289999999</v>
      </c>
      <c r="J11" s="172">
        <f t="shared" si="2"/>
        <v>0.10836241604486736</v>
      </c>
      <c r="K11" s="154">
        <v>5697603.9800000004</v>
      </c>
      <c r="L11" s="53">
        <v>1.7960772417188318E-2</v>
      </c>
      <c r="M11" s="258"/>
    </row>
    <row r="12" spans="1:13" ht="15" customHeight="1" x14ac:dyDescent="0.2">
      <c r="A12" s="25">
        <v>7</v>
      </c>
      <c r="B12" s="25" t="s">
        <v>6</v>
      </c>
      <c r="C12" s="178">
        <v>9655572.5500000007</v>
      </c>
      <c r="D12" s="236">
        <v>8927623.75</v>
      </c>
      <c r="E12" s="31">
        <v>300000</v>
      </c>
      <c r="F12" s="464">
        <f t="shared" si="0"/>
        <v>3.3603566682567684E-2</v>
      </c>
      <c r="G12" s="31">
        <v>300000</v>
      </c>
      <c r="H12" s="464">
        <f t="shared" si="1"/>
        <v>3.3603566682567684E-2</v>
      </c>
      <c r="I12" s="31">
        <v>0</v>
      </c>
      <c r="J12" s="466">
        <f t="shared" si="2"/>
        <v>0</v>
      </c>
      <c r="K12" s="155">
        <v>0</v>
      </c>
      <c r="L12" s="385">
        <v>0</v>
      </c>
      <c r="M12" s="258"/>
    </row>
    <row r="13" spans="1:13" ht="15" customHeight="1" x14ac:dyDescent="0.2">
      <c r="A13" s="9"/>
      <c r="B13" s="2" t="s">
        <v>7</v>
      </c>
      <c r="C13" s="181">
        <f>SUM(C11:C12)</f>
        <v>325358109.85000002</v>
      </c>
      <c r="D13" s="171">
        <f t="shared" ref="D13:I13" si="5">SUM(D11:D12)</f>
        <v>300887857.24000001</v>
      </c>
      <c r="E13" s="92">
        <f t="shared" si="5"/>
        <v>65444150.780000001</v>
      </c>
      <c r="F13" s="98">
        <f t="shared" si="0"/>
        <v>0.2175034625202544</v>
      </c>
      <c r="G13" s="92">
        <f t="shared" si="5"/>
        <v>65444150.780000001</v>
      </c>
      <c r="H13" s="98">
        <f t="shared" si="1"/>
        <v>0.2175034625202544</v>
      </c>
      <c r="I13" s="92">
        <f t="shared" si="5"/>
        <v>31637516.289999999</v>
      </c>
      <c r="J13" s="190">
        <f t="shared" si="2"/>
        <v>0.10514720195160508</v>
      </c>
      <c r="K13" s="92">
        <f>SUM(K11:K12)</f>
        <v>5697603.9800000004</v>
      </c>
      <c r="L13" s="44">
        <v>1.7000000000000001E-2</v>
      </c>
      <c r="M13" s="284">
        <f t="shared" si="3"/>
        <v>4.5527755879586413</v>
      </c>
    </row>
    <row r="14" spans="1:13" ht="15" customHeight="1" x14ac:dyDescent="0.2">
      <c r="A14" s="21">
        <v>8</v>
      </c>
      <c r="B14" s="21" t="s">
        <v>8</v>
      </c>
      <c r="C14" s="178">
        <v>21421544.140000001</v>
      </c>
      <c r="D14" s="236">
        <v>21421544.140000001</v>
      </c>
      <c r="E14" s="31">
        <v>7821544.1399999997</v>
      </c>
      <c r="F14" s="49">
        <f t="shared" si="0"/>
        <v>0.36512513238459754</v>
      </c>
      <c r="G14" s="31">
        <v>7821544.1399999997</v>
      </c>
      <c r="H14" s="49">
        <f t="shared" si="1"/>
        <v>0.36512513238459754</v>
      </c>
      <c r="I14" s="31">
        <v>0</v>
      </c>
      <c r="J14" s="172">
        <f t="shared" si="2"/>
        <v>0</v>
      </c>
      <c r="K14" s="154">
        <v>7821544.1399999997</v>
      </c>
      <c r="L14" s="53">
        <v>6.7205474822678163E-2</v>
      </c>
      <c r="M14" s="258">
        <f t="shared" si="3"/>
        <v>-1</v>
      </c>
    </row>
    <row r="15" spans="1:13" ht="15" customHeight="1" x14ac:dyDescent="0.2">
      <c r="A15" s="25">
        <v>9</v>
      </c>
      <c r="B15" s="25" t="s">
        <v>9</v>
      </c>
      <c r="C15" s="178">
        <v>159183736.81</v>
      </c>
      <c r="D15" s="236">
        <v>159183736.81</v>
      </c>
      <c r="E15" s="31">
        <v>116837207.88</v>
      </c>
      <c r="F15" s="464">
        <f t="shared" si="0"/>
        <v>0.73397703949779514</v>
      </c>
      <c r="G15" s="31">
        <v>116837207.88</v>
      </c>
      <c r="H15" s="464">
        <f t="shared" si="1"/>
        <v>0.73397703949779514</v>
      </c>
      <c r="I15" s="31">
        <v>116837207.88</v>
      </c>
      <c r="J15" s="466">
        <f t="shared" si="2"/>
        <v>0.73397703949779514</v>
      </c>
      <c r="K15" s="155">
        <v>96473519.019999996</v>
      </c>
      <c r="L15" s="385">
        <v>0.73365992335883634</v>
      </c>
      <c r="M15" s="161">
        <f t="shared" si="3"/>
        <v>0.21108060602390166</v>
      </c>
    </row>
    <row r="16" spans="1:13" ht="15" customHeight="1" thickBot="1" x14ac:dyDescent="0.25">
      <c r="A16" s="9"/>
      <c r="B16" s="2" t="s">
        <v>10</v>
      </c>
      <c r="C16" s="181">
        <f>SUM(C14:C15)</f>
        <v>180605280.94999999</v>
      </c>
      <c r="D16" s="171">
        <f t="shared" ref="D16:I16" si="6">SUM(D14:D15)</f>
        <v>180605280.94999999</v>
      </c>
      <c r="E16" s="92">
        <f t="shared" si="6"/>
        <v>124658752.02</v>
      </c>
      <c r="F16" s="98">
        <f t="shared" si="0"/>
        <v>0.69022761330279914</v>
      </c>
      <c r="G16" s="92">
        <f t="shared" si="6"/>
        <v>124658752.02</v>
      </c>
      <c r="H16" s="98">
        <f t="shared" si="1"/>
        <v>0.69022761330279914</v>
      </c>
      <c r="I16" s="92">
        <f t="shared" si="6"/>
        <v>116837207.88</v>
      </c>
      <c r="J16" s="190">
        <f t="shared" si="2"/>
        <v>0.64692021886306861</v>
      </c>
      <c r="K16" s="92">
        <f>SUM(K14:K15)</f>
        <v>104295063.16</v>
      </c>
      <c r="L16" s="44">
        <v>0.42099999999999999</v>
      </c>
      <c r="M16" s="266">
        <f t="shared" si="3"/>
        <v>0.12025636056002931</v>
      </c>
    </row>
    <row r="17" spans="1:13" s="6" customFormat="1" ht="19.5" customHeight="1" thickBot="1" x14ac:dyDescent="0.25">
      <c r="A17" s="5"/>
      <c r="B17" s="4" t="s">
        <v>11</v>
      </c>
      <c r="C17" s="182">
        <f>+C10+C13+C16</f>
        <v>839696804.13000011</v>
      </c>
      <c r="D17" s="173">
        <f t="shared" ref="D17:I17" si="7">+D10+D13+D16</f>
        <v>810629755.67000008</v>
      </c>
      <c r="E17" s="174">
        <f t="shared" si="7"/>
        <v>390262413.09000003</v>
      </c>
      <c r="F17" s="202">
        <f t="shared" si="0"/>
        <v>0.48143114703141032</v>
      </c>
      <c r="G17" s="174">
        <f t="shared" si="7"/>
        <v>390262413.09000003</v>
      </c>
      <c r="H17" s="202">
        <f t="shared" si="1"/>
        <v>0.48143114703141032</v>
      </c>
      <c r="I17" s="174">
        <f t="shared" si="7"/>
        <v>192327178.10999998</v>
      </c>
      <c r="J17" s="194">
        <f t="shared" si="2"/>
        <v>0.23725649936331059</v>
      </c>
      <c r="K17" s="165">
        <f>K10+K13+K16</f>
        <v>154793839.73000002</v>
      </c>
      <c r="L17" s="211">
        <v>0.17199999999999999</v>
      </c>
      <c r="M17" s="208">
        <f t="shared" si="3"/>
        <v>0.24247307544969288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
&amp;R&amp;"Arial,Negreta"&amp;8&amp;K03+000Direcció de Pressupostos i Política Fiscal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21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.75" thickBot="1" x14ac:dyDescent="0.3">
      <c r="A1" s="7" t="s">
        <v>440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8">
        <v>348042.97</v>
      </c>
      <c r="D5" s="236">
        <v>317368.88</v>
      </c>
      <c r="E5" s="35">
        <v>63409.53</v>
      </c>
      <c r="F5" s="49">
        <f>E5/D5</f>
        <v>0.19979756679356842</v>
      </c>
      <c r="G5" s="35">
        <v>63409.53</v>
      </c>
      <c r="H5" s="49">
        <f>G5/D5</f>
        <v>0.19979756679356842</v>
      </c>
      <c r="I5" s="35">
        <v>63409.53</v>
      </c>
      <c r="J5" s="172">
        <f>I5/D5</f>
        <v>0.19979756679356842</v>
      </c>
      <c r="K5" s="31">
        <v>53234.82</v>
      </c>
      <c r="L5" s="53">
        <v>0.15320775119011615</v>
      </c>
      <c r="M5" s="242">
        <f>+I5/K5-1</f>
        <v>0.19112885137960456</v>
      </c>
    </row>
    <row r="6" spans="1:13" ht="15" customHeight="1" x14ac:dyDescent="0.2">
      <c r="A6" s="23">
        <v>2</v>
      </c>
      <c r="B6" s="23" t="s">
        <v>1</v>
      </c>
      <c r="C6" s="178">
        <v>50</v>
      </c>
      <c r="D6" s="236">
        <v>50</v>
      </c>
      <c r="E6" s="35">
        <v>0</v>
      </c>
      <c r="F6" s="49" t="s">
        <v>135</v>
      </c>
      <c r="G6" s="35">
        <v>0</v>
      </c>
      <c r="H6" s="49" t="s">
        <v>135</v>
      </c>
      <c r="I6" s="35">
        <v>0</v>
      </c>
      <c r="J6" s="172" t="s">
        <v>135</v>
      </c>
      <c r="K6" s="33"/>
      <c r="L6" s="55" t="s">
        <v>135</v>
      </c>
      <c r="M6" s="242" t="s">
        <v>135</v>
      </c>
    </row>
    <row r="7" spans="1:13" ht="15" customHeight="1" x14ac:dyDescent="0.2">
      <c r="A7" s="23">
        <v>3</v>
      </c>
      <c r="B7" s="23" t="s">
        <v>2</v>
      </c>
      <c r="C7" s="178"/>
      <c r="D7" s="236"/>
      <c r="E7" s="35"/>
      <c r="F7" s="27" t="s">
        <v>135</v>
      </c>
      <c r="G7" s="35"/>
      <c r="H7" s="27" t="s">
        <v>135</v>
      </c>
      <c r="I7" s="35"/>
      <c r="J7" s="265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78">
        <v>209552292.66</v>
      </c>
      <c r="D8" s="236">
        <v>212489652.30000001</v>
      </c>
      <c r="E8" s="35">
        <v>199452625.05000001</v>
      </c>
      <c r="F8" s="464">
        <f>E8/D8</f>
        <v>0.93864629590718196</v>
      </c>
      <c r="G8" s="35">
        <v>199452625.05000001</v>
      </c>
      <c r="H8" s="464">
        <f>G8/D8</f>
        <v>0.93864629590718196</v>
      </c>
      <c r="I8" s="35">
        <v>54035093.5</v>
      </c>
      <c r="J8" s="466">
        <f>I8/D8</f>
        <v>0.2542951758597235</v>
      </c>
      <c r="K8" s="35">
        <v>52741378.799999997</v>
      </c>
      <c r="L8" s="385">
        <v>0.25643274894860146</v>
      </c>
      <c r="M8" s="539">
        <f>+I8/K8-1</f>
        <v>2.4529406121631459E-2</v>
      </c>
    </row>
    <row r="9" spans="1:13" ht="15" customHeight="1" x14ac:dyDescent="0.2">
      <c r="A9" s="9"/>
      <c r="B9" s="2" t="s">
        <v>4</v>
      </c>
      <c r="C9" s="181">
        <f>SUM(C5:C8)</f>
        <v>209900385.63</v>
      </c>
      <c r="D9" s="171">
        <f>SUM(D5:D8)</f>
        <v>212807071.18000001</v>
      </c>
      <c r="E9" s="92">
        <f>SUM(E5:E8)</f>
        <v>199516034.58000001</v>
      </c>
      <c r="F9" s="98">
        <f>E9/D9</f>
        <v>0.93754419659881527</v>
      </c>
      <c r="G9" s="92">
        <f t="shared" ref="G9:I9" si="0">SUM(G5:G8)</f>
        <v>199516034.58000001</v>
      </c>
      <c r="H9" s="98">
        <f>G9/D9</f>
        <v>0.93754419659881527</v>
      </c>
      <c r="I9" s="92">
        <f t="shared" si="0"/>
        <v>54098503.030000001</v>
      </c>
      <c r="J9" s="190">
        <f>I9/D9</f>
        <v>0.25421384134478081</v>
      </c>
      <c r="K9" s="92">
        <f>SUM(K5:K8)</f>
        <v>52794613.619999997</v>
      </c>
      <c r="L9" s="44">
        <v>0.25600000000000001</v>
      </c>
      <c r="M9" s="162">
        <f>+I9/K9-1</f>
        <v>2.4697394688500074E-2</v>
      </c>
    </row>
    <row r="10" spans="1:13" ht="15" customHeight="1" x14ac:dyDescent="0.2">
      <c r="A10" s="21">
        <v>6</v>
      </c>
      <c r="B10" s="21" t="s">
        <v>5</v>
      </c>
      <c r="C10" s="178"/>
      <c r="D10" s="236"/>
      <c r="E10" s="31"/>
      <c r="F10" s="28" t="s">
        <v>135</v>
      </c>
      <c r="G10" s="154"/>
      <c r="H10" s="28" t="s">
        <v>135</v>
      </c>
      <c r="I10" s="154"/>
      <c r="J10" s="260" t="s">
        <v>135</v>
      </c>
      <c r="K10" s="154"/>
      <c r="L10" s="53" t="s">
        <v>135</v>
      </c>
      <c r="M10" s="159" t="s">
        <v>135</v>
      </c>
    </row>
    <row r="11" spans="1:13" ht="15" customHeight="1" x14ac:dyDescent="0.2">
      <c r="A11" s="25">
        <v>7</v>
      </c>
      <c r="B11" s="25" t="s">
        <v>6</v>
      </c>
      <c r="C11" s="178">
        <v>5240773</v>
      </c>
      <c r="D11" s="236">
        <v>5240773</v>
      </c>
      <c r="E11" s="31">
        <v>195000</v>
      </c>
      <c r="F11" s="464">
        <f>E11/D11</f>
        <v>3.7208251530833333E-2</v>
      </c>
      <c r="G11" s="31">
        <v>195000</v>
      </c>
      <c r="H11" s="464">
        <f>G11/D11</f>
        <v>3.7208251530833333E-2</v>
      </c>
      <c r="I11" s="155">
        <v>0</v>
      </c>
      <c r="J11" s="466">
        <f>I11/D11</f>
        <v>0</v>
      </c>
      <c r="K11" s="155">
        <v>1000000</v>
      </c>
      <c r="L11" s="385">
        <v>0.19818568928883643</v>
      </c>
      <c r="M11" s="245">
        <f>+I11/K11-1</f>
        <v>-1</v>
      </c>
    </row>
    <row r="12" spans="1:13" ht="15" customHeight="1" x14ac:dyDescent="0.2">
      <c r="A12" s="9"/>
      <c r="B12" s="2" t="s">
        <v>7</v>
      </c>
      <c r="C12" s="181">
        <f>SUM(C10:C11)</f>
        <v>5240773</v>
      </c>
      <c r="D12" s="171">
        <f t="shared" ref="D12:I12" si="1">SUM(D10:D11)</f>
        <v>5240773</v>
      </c>
      <c r="E12" s="92">
        <f t="shared" si="1"/>
        <v>195000</v>
      </c>
      <c r="F12" s="98">
        <f>E12/D12</f>
        <v>3.7208251530833333E-2</v>
      </c>
      <c r="G12" s="92">
        <f t="shared" si="1"/>
        <v>195000</v>
      </c>
      <c r="H12" s="98">
        <f>G12/D12</f>
        <v>3.7208251530833333E-2</v>
      </c>
      <c r="I12" s="92">
        <f t="shared" si="1"/>
        <v>0</v>
      </c>
      <c r="J12" s="190">
        <f>I12/D12</f>
        <v>0</v>
      </c>
      <c r="K12" s="92">
        <f>SUM(K10:K11)</f>
        <v>1000000</v>
      </c>
      <c r="L12" s="44">
        <v>0.19800000000000001</v>
      </c>
      <c r="M12" s="162">
        <f>+I12/K12-1</f>
        <v>-1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28" t="s">
        <v>135</v>
      </c>
      <c r="G13" s="31"/>
      <c r="H13" s="28" t="s">
        <v>135</v>
      </c>
      <c r="I13" s="31"/>
      <c r="J13" s="260" t="s">
        <v>135</v>
      </c>
      <c r="K13" s="31"/>
      <c r="L13" s="57"/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29" t="s">
        <v>135</v>
      </c>
      <c r="G14" s="35"/>
      <c r="H14" s="29" t="s">
        <v>135</v>
      </c>
      <c r="I14" s="35"/>
      <c r="J14" s="261" t="s">
        <v>135</v>
      </c>
      <c r="K14" s="35"/>
      <c r="L14" s="56"/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2">SUM(D13:D14)</f>
        <v>0</v>
      </c>
      <c r="E15" s="92">
        <f t="shared" si="2"/>
        <v>0</v>
      </c>
      <c r="F15" s="262" t="s">
        <v>135</v>
      </c>
      <c r="G15" s="92">
        <f t="shared" si="2"/>
        <v>0</v>
      </c>
      <c r="H15" s="262" t="s">
        <v>135</v>
      </c>
      <c r="I15" s="92">
        <f t="shared" si="2"/>
        <v>0</v>
      </c>
      <c r="J15" s="263" t="s">
        <v>135</v>
      </c>
      <c r="K15" s="92">
        <f>SUM(K13:K14)</f>
        <v>0</v>
      </c>
      <c r="L15" s="107"/>
      <c r="M15" s="264" t="s">
        <v>135</v>
      </c>
    </row>
    <row r="16" spans="1:13" s="6" customFormat="1" ht="19.5" customHeight="1" thickBot="1" x14ac:dyDescent="0.25">
      <c r="A16" s="5"/>
      <c r="B16" s="4" t="s">
        <v>11</v>
      </c>
      <c r="C16" s="182">
        <f>+C9+C12+C15</f>
        <v>215141158.63</v>
      </c>
      <c r="D16" s="173">
        <f t="shared" ref="D16:I16" si="3">+D9+D12+D15</f>
        <v>218047844.18000001</v>
      </c>
      <c r="E16" s="174">
        <f t="shared" si="3"/>
        <v>199711034.58000001</v>
      </c>
      <c r="F16" s="202">
        <f>E16/D16</f>
        <v>0.91590465079369077</v>
      </c>
      <c r="G16" s="174">
        <f t="shared" si="3"/>
        <v>199711034.58000001</v>
      </c>
      <c r="H16" s="202">
        <f>G16/D16</f>
        <v>0.91590465079369077</v>
      </c>
      <c r="I16" s="174">
        <f t="shared" si="3"/>
        <v>54098503.030000001</v>
      </c>
      <c r="J16" s="194">
        <f>I16/D16</f>
        <v>0.24810381975316073</v>
      </c>
      <c r="K16" s="165">
        <f>K9+K12+K15</f>
        <v>53794613.619999997</v>
      </c>
      <c r="L16" s="211">
        <v>0.255</v>
      </c>
      <c r="M16" s="208">
        <f>+I16/K16-1</f>
        <v>5.649067621279924E-3</v>
      </c>
    </row>
    <row r="21" spans="10:10" x14ac:dyDescent="0.2">
      <c r="J21" s="105" t="s">
        <v>154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
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16"/>
  <sheetViews>
    <sheetView topLeftCell="A4" zoomScaleNormal="100" workbookViewId="0">
      <selection activeCell="F26" sqref="F2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38" bestFit="1" customWidth="1"/>
    <col min="13" max="13" width="9" style="105" bestFit="1" customWidth="1"/>
  </cols>
  <sheetData>
    <row r="1" spans="1:13" ht="15.75" thickBot="1" x14ac:dyDescent="0.3">
      <c r="A1" s="7" t="s">
        <v>134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10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11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9">
        <v>40871849.880000003</v>
      </c>
      <c r="D5" s="237">
        <v>41325824.119999997</v>
      </c>
      <c r="E5" s="33">
        <v>6140975.6299999999</v>
      </c>
      <c r="F5" s="49">
        <f>E5/D5</f>
        <v>0.14859898769757432</v>
      </c>
      <c r="G5" s="33">
        <v>6140975.6299999999</v>
      </c>
      <c r="H5" s="49">
        <f>G5/D5</f>
        <v>0.14859898769757432</v>
      </c>
      <c r="I5" s="33">
        <v>6140975.6299999999</v>
      </c>
      <c r="J5" s="172">
        <f>I5/D5</f>
        <v>0.14859898769757432</v>
      </c>
      <c r="K5" s="31">
        <v>6125451.1799999997</v>
      </c>
      <c r="L5" s="53">
        <v>0.14619660791423247</v>
      </c>
      <c r="M5" s="242">
        <f>+I5/K5-1</f>
        <v>2.5344173912753565E-3</v>
      </c>
    </row>
    <row r="6" spans="1:13" ht="15" customHeight="1" x14ac:dyDescent="0.2">
      <c r="A6" s="23">
        <v>2</v>
      </c>
      <c r="B6" s="23" t="s">
        <v>1</v>
      </c>
      <c r="C6" s="179">
        <v>165307406.81</v>
      </c>
      <c r="D6" s="237">
        <v>165264814.81</v>
      </c>
      <c r="E6" s="33">
        <v>146917250.62</v>
      </c>
      <c r="F6" s="49">
        <f>E6/D6</f>
        <v>0.88898082020003089</v>
      </c>
      <c r="G6" s="33">
        <v>142131979.25</v>
      </c>
      <c r="H6" s="49">
        <f>G6/D6</f>
        <v>0.86002564679847238</v>
      </c>
      <c r="I6" s="33">
        <v>2083299.23</v>
      </c>
      <c r="J6" s="172">
        <f>I6/D6</f>
        <v>1.2605824369785587E-2</v>
      </c>
      <c r="K6" s="33">
        <v>3302029.0999999996</v>
      </c>
      <c r="L6" s="55">
        <v>2.0737113360379388E-2</v>
      </c>
      <c r="M6" s="242">
        <f>+I6/K6-1</f>
        <v>-0.36908513919516939</v>
      </c>
    </row>
    <row r="7" spans="1:13" ht="15" customHeight="1" x14ac:dyDescent="0.2">
      <c r="A7" s="23">
        <v>3</v>
      </c>
      <c r="B7" s="23" t="s">
        <v>2</v>
      </c>
      <c r="C7" s="179"/>
      <c r="D7" s="237"/>
      <c r="E7" s="33"/>
      <c r="F7" s="27" t="s">
        <v>135</v>
      </c>
      <c r="G7" s="33"/>
      <c r="H7" s="27" t="s">
        <v>135</v>
      </c>
      <c r="I7" s="33"/>
      <c r="J7" s="265" t="s">
        <v>135</v>
      </c>
      <c r="K7" s="33"/>
      <c r="L7" s="55" t="s">
        <v>135</v>
      </c>
      <c r="M7" s="243" t="s">
        <v>135</v>
      </c>
    </row>
    <row r="8" spans="1:13" ht="15" customHeight="1" x14ac:dyDescent="0.2">
      <c r="A8" s="25">
        <v>4</v>
      </c>
      <c r="B8" s="25" t="s">
        <v>3</v>
      </c>
      <c r="C8" s="179">
        <v>82331024.799999997</v>
      </c>
      <c r="D8" s="237">
        <v>82358707.299999997</v>
      </c>
      <c r="E8" s="33">
        <v>74830624.739999995</v>
      </c>
      <c r="F8" s="464">
        <f>E8/D8</f>
        <v>0.90859396890995148</v>
      </c>
      <c r="G8" s="33">
        <v>70702449.780000001</v>
      </c>
      <c r="H8" s="464">
        <f>G8/D8</f>
        <v>0.85846963967585255</v>
      </c>
      <c r="I8" s="33">
        <v>11867856.609999999</v>
      </c>
      <c r="J8" s="466">
        <f>I8/D8</f>
        <v>0.14409959795471439</v>
      </c>
      <c r="K8" s="35">
        <v>14521663.58</v>
      </c>
      <c r="L8" s="385">
        <v>0.17918844853930541</v>
      </c>
      <c r="M8" s="273">
        <f>+I8/K8-1</f>
        <v>-0.18274813731774942</v>
      </c>
    </row>
    <row r="9" spans="1:13" ht="15" customHeight="1" x14ac:dyDescent="0.2">
      <c r="A9" s="9"/>
      <c r="B9" s="2" t="s">
        <v>4</v>
      </c>
      <c r="C9" s="181">
        <f>SUM(C5:C8)</f>
        <v>288510281.49000001</v>
      </c>
      <c r="D9" s="171">
        <f t="shared" ref="D9:I9" si="0">SUM(D5:D8)</f>
        <v>288949346.23000002</v>
      </c>
      <c r="E9" s="92">
        <f t="shared" si="0"/>
        <v>227888850.99000001</v>
      </c>
      <c r="F9" s="98">
        <f>E9/D9</f>
        <v>0.78868097112288804</v>
      </c>
      <c r="G9" s="92">
        <f t="shared" si="0"/>
        <v>218975404.66</v>
      </c>
      <c r="H9" s="98">
        <f>G9/D9</f>
        <v>0.75783318950892642</v>
      </c>
      <c r="I9" s="92">
        <f t="shared" si="0"/>
        <v>20092131.469999999</v>
      </c>
      <c r="J9" s="190">
        <f>I9/D9</f>
        <v>6.9535133863936546E-2</v>
      </c>
      <c r="K9" s="92">
        <f>SUM(K5:K8)</f>
        <v>23949143.859999999</v>
      </c>
      <c r="L9" s="44">
        <v>8.5000000000000006E-2</v>
      </c>
      <c r="M9" s="246">
        <f>+I9/K9-1</f>
        <v>-0.16105011571799877</v>
      </c>
    </row>
    <row r="10" spans="1:13" ht="15" customHeight="1" x14ac:dyDescent="0.2">
      <c r="A10" s="21">
        <v>6</v>
      </c>
      <c r="B10" s="21" t="s">
        <v>5</v>
      </c>
      <c r="C10" s="180">
        <v>14967144.689999999</v>
      </c>
      <c r="D10" s="238">
        <v>19220829.359999999</v>
      </c>
      <c r="E10" s="35">
        <v>4868302.71</v>
      </c>
      <c r="F10" s="49">
        <f>E10/D10</f>
        <v>0.25328265595715171</v>
      </c>
      <c r="G10" s="155">
        <v>2701261.13</v>
      </c>
      <c r="H10" s="49">
        <f>G10/D10</f>
        <v>0.14053821921032861</v>
      </c>
      <c r="I10" s="33">
        <v>1226707.77</v>
      </c>
      <c r="J10" s="172">
        <f>I10/D10</f>
        <v>6.3821791818872903E-2</v>
      </c>
      <c r="K10" s="154">
        <v>6398635.5</v>
      </c>
      <c r="L10" s="53">
        <v>0.22216197362916518</v>
      </c>
      <c r="M10" s="242">
        <f t="shared" ref="M10:M11" si="1">+I10/K10-1</f>
        <v>-0.8082860369214655</v>
      </c>
    </row>
    <row r="11" spans="1:13" ht="15" customHeight="1" x14ac:dyDescent="0.2">
      <c r="A11" s="25">
        <v>7</v>
      </c>
      <c r="B11" s="25" t="s">
        <v>6</v>
      </c>
      <c r="C11" s="180">
        <v>0</v>
      </c>
      <c r="D11" s="238">
        <v>64649.8</v>
      </c>
      <c r="E11" s="35">
        <v>0</v>
      </c>
      <c r="F11" s="464"/>
      <c r="G11" s="155">
        <v>0</v>
      </c>
      <c r="H11" s="464"/>
      <c r="I11" s="155">
        <v>0</v>
      </c>
      <c r="J11" s="466"/>
      <c r="K11" s="155">
        <v>0</v>
      </c>
      <c r="L11" s="385">
        <v>0</v>
      </c>
      <c r="M11" s="161" t="s">
        <v>135</v>
      </c>
    </row>
    <row r="12" spans="1:13" ht="15" customHeight="1" x14ac:dyDescent="0.2">
      <c r="A12" s="9"/>
      <c r="B12" s="2" t="s">
        <v>7</v>
      </c>
      <c r="C12" s="181">
        <f>SUM(C10:C11)</f>
        <v>14967144.689999999</v>
      </c>
      <c r="D12" s="171">
        <f t="shared" ref="D12:I12" si="2">SUM(D10:D11)</f>
        <v>19285479.16</v>
      </c>
      <c r="E12" s="92">
        <f t="shared" si="2"/>
        <v>4868302.71</v>
      </c>
      <c r="F12" s="98">
        <f>E12/D12</f>
        <v>0.25243358848440456</v>
      </c>
      <c r="G12" s="92">
        <f t="shared" si="2"/>
        <v>2701261.13</v>
      </c>
      <c r="H12" s="98">
        <f>G12/D12</f>
        <v>0.14006709958250266</v>
      </c>
      <c r="I12" s="92">
        <f t="shared" si="2"/>
        <v>1226707.77</v>
      </c>
      <c r="J12" s="190">
        <f>I12/D12</f>
        <v>6.3607845043555558E-2</v>
      </c>
      <c r="K12" s="92">
        <f>SUM(K10:K11)</f>
        <v>6398635.5</v>
      </c>
      <c r="L12" s="44">
        <v>0.215</v>
      </c>
      <c r="M12" s="246">
        <f>+I12/K12-1</f>
        <v>-0.8082860369214655</v>
      </c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28" t="s">
        <v>135</v>
      </c>
      <c r="G13" s="31"/>
      <c r="H13" s="28" t="s">
        <v>135</v>
      </c>
      <c r="I13" s="31"/>
      <c r="J13" s="260" t="s">
        <v>135</v>
      </c>
      <c r="K13" s="31"/>
      <c r="L13" s="112"/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29" t="s">
        <v>135</v>
      </c>
      <c r="G14" s="35"/>
      <c r="H14" s="29" t="s">
        <v>135</v>
      </c>
      <c r="I14" s="35"/>
      <c r="J14" s="261" t="s">
        <v>135</v>
      </c>
      <c r="K14" s="35"/>
      <c r="L14" s="113"/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3">SUM(D13:D14)</f>
        <v>0</v>
      </c>
      <c r="E15" s="92">
        <f t="shared" si="3"/>
        <v>0</v>
      </c>
      <c r="F15" s="262" t="s">
        <v>135</v>
      </c>
      <c r="G15" s="92">
        <f t="shared" si="3"/>
        <v>0</v>
      </c>
      <c r="H15" s="262" t="s">
        <v>135</v>
      </c>
      <c r="I15" s="92">
        <f t="shared" si="3"/>
        <v>0</v>
      </c>
      <c r="J15" s="263" t="s">
        <v>135</v>
      </c>
      <c r="K15" s="92">
        <f>SUM(K13:K14)</f>
        <v>0</v>
      </c>
      <c r="L15" s="114"/>
      <c r="M15" s="266" t="s">
        <v>135</v>
      </c>
    </row>
    <row r="16" spans="1:13" s="6" customFormat="1" ht="19.5" customHeight="1" thickBot="1" x14ac:dyDescent="0.25">
      <c r="A16" s="5"/>
      <c r="B16" s="4" t="s">
        <v>11</v>
      </c>
      <c r="C16" s="182">
        <f>+C9+C12+C15</f>
        <v>303477426.18000001</v>
      </c>
      <c r="D16" s="173">
        <f t="shared" ref="D16:I16" si="4">+D9+D12+D15</f>
        <v>308234825.39000005</v>
      </c>
      <c r="E16" s="174">
        <f t="shared" si="4"/>
        <v>232757153.70000002</v>
      </c>
      <c r="F16" s="202">
        <f>E16/D16</f>
        <v>0.75512931871179567</v>
      </c>
      <c r="G16" s="174">
        <f t="shared" si="4"/>
        <v>221676665.78999999</v>
      </c>
      <c r="H16" s="202">
        <f>G16/D16</f>
        <v>0.71918111624641801</v>
      </c>
      <c r="I16" s="174">
        <f t="shared" si="4"/>
        <v>21318839.239999998</v>
      </c>
      <c r="J16" s="194">
        <f>I16/D16</f>
        <v>6.9164278283694675E-2</v>
      </c>
      <c r="K16" s="165">
        <f>K9+K12+K15</f>
        <v>30347779.359999999</v>
      </c>
      <c r="L16" s="211">
        <v>9.7000000000000003E-2</v>
      </c>
      <c r="M16" s="208">
        <f>+I16/K16-1</f>
        <v>-0.29751567694276271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</sheetPr>
  <dimension ref="A1:N29"/>
  <sheetViews>
    <sheetView workbookViewId="0">
      <selection activeCell="G10" sqref="G1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44</v>
      </c>
    </row>
    <row r="2" spans="1:14" x14ac:dyDescent="0.2">
      <c r="A2" s="8" t="s">
        <v>20</v>
      </c>
      <c r="C2" s="440" t="s">
        <v>510</v>
      </c>
      <c r="D2" s="300"/>
      <c r="E2" s="567" t="s">
        <v>552</v>
      </c>
      <c r="F2" s="568"/>
      <c r="G2" s="569"/>
      <c r="H2" s="569"/>
      <c r="I2" s="569"/>
      <c r="J2" s="569"/>
      <c r="K2" s="570"/>
      <c r="L2" s="565" t="s">
        <v>553</v>
      </c>
      <c r="M2" s="566"/>
      <c r="N2" s="156"/>
    </row>
    <row r="3" spans="1:14" x14ac:dyDescent="0.2">
      <c r="C3" s="176">
        <v>1</v>
      </c>
      <c r="D3" s="301"/>
      <c r="E3" s="166">
        <v>2</v>
      </c>
      <c r="F3" s="95"/>
      <c r="G3" s="95">
        <v>3</v>
      </c>
      <c r="H3" s="95"/>
      <c r="I3" s="96" t="s">
        <v>39</v>
      </c>
      <c r="J3" s="95">
        <v>4</v>
      </c>
      <c r="K3" s="167" t="s">
        <v>49</v>
      </c>
      <c r="L3" s="95" t="s">
        <v>50</v>
      </c>
      <c r="M3" s="16" t="s">
        <v>51</v>
      </c>
      <c r="N3" s="157" t="s">
        <v>366</v>
      </c>
    </row>
    <row r="4" spans="1:14" ht="30" customHeight="1" x14ac:dyDescent="0.2">
      <c r="A4" s="1"/>
      <c r="B4" s="2" t="s">
        <v>12</v>
      </c>
      <c r="C4" s="177" t="s">
        <v>47</v>
      </c>
      <c r="D4" s="302" t="s">
        <v>458</v>
      </c>
      <c r="E4" s="127" t="s">
        <v>48</v>
      </c>
      <c r="F4" s="97" t="s">
        <v>459</v>
      </c>
      <c r="G4" s="97" t="s">
        <v>139</v>
      </c>
      <c r="H4" s="97" t="s">
        <v>460</v>
      </c>
      <c r="I4" s="97" t="s">
        <v>18</v>
      </c>
      <c r="J4" s="97" t="s">
        <v>421</v>
      </c>
      <c r="K4" s="128" t="s">
        <v>18</v>
      </c>
      <c r="L4" s="97" t="s">
        <v>139</v>
      </c>
      <c r="M4" s="12" t="s">
        <v>18</v>
      </c>
      <c r="N4" s="158" t="s">
        <v>550</v>
      </c>
    </row>
    <row r="5" spans="1:14" ht="15" customHeight="1" x14ac:dyDescent="0.2">
      <c r="A5" s="21">
        <v>1</v>
      </c>
      <c r="B5" s="21" t="s">
        <v>52</v>
      </c>
      <c r="C5" s="229">
        <v>943767320</v>
      </c>
      <c r="D5" s="304">
        <f>C5/$C$18</f>
        <v>0.37002266754900592</v>
      </c>
      <c r="E5" s="236">
        <v>943767320</v>
      </c>
      <c r="F5" s="306">
        <f>E5/$E$18</f>
        <v>0.36984703686633519</v>
      </c>
      <c r="G5" s="31">
        <v>271683067.31</v>
      </c>
      <c r="H5" s="306">
        <f>G5/$G$18</f>
        <v>0.53192475401808259</v>
      </c>
      <c r="I5" s="152">
        <f>G5/E5</f>
        <v>0.2878708147152203</v>
      </c>
      <c r="J5" s="31">
        <v>166080339.75</v>
      </c>
      <c r="K5" s="172">
        <f>J5/G5</f>
        <v>0.6113017693535403</v>
      </c>
      <c r="L5" s="154">
        <v>253110909.41999999</v>
      </c>
      <c r="M5" s="49">
        <v>0.28780026204930087</v>
      </c>
      <c r="N5" s="159">
        <f>+G5/L5-1</f>
        <v>7.3375572520986365E-2</v>
      </c>
    </row>
    <row r="6" spans="1:14" ht="15" customHeight="1" x14ac:dyDescent="0.2">
      <c r="A6" s="23">
        <v>2</v>
      </c>
      <c r="B6" s="23" t="s">
        <v>53</v>
      </c>
      <c r="C6" s="229">
        <v>55749790</v>
      </c>
      <c r="D6" s="304">
        <f t="shared" ref="D6:D16" si="0">C6/$C$18</f>
        <v>2.1857809201421483E-2</v>
      </c>
      <c r="E6" s="236">
        <v>55749790</v>
      </c>
      <c r="F6" s="306">
        <f t="shared" ref="F6:F9" si="1">E6/$E$18</f>
        <v>2.1847434426337676E-2</v>
      </c>
      <c r="G6" s="31">
        <v>11032545.189999999</v>
      </c>
      <c r="H6" s="306">
        <f t="shared" ref="H6:H9" si="2">G6/$G$18</f>
        <v>2.1600477145997408E-2</v>
      </c>
      <c r="I6" s="152">
        <f t="shared" ref="I6:I9" si="3">G6/E6</f>
        <v>0.19789393269463434</v>
      </c>
      <c r="J6" s="31">
        <v>7319926.6799999997</v>
      </c>
      <c r="K6" s="172">
        <f t="shared" ref="K6:K9" si="4">J6/G6</f>
        <v>0.66348485811187508</v>
      </c>
      <c r="L6" s="151">
        <v>7649895.3899999997</v>
      </c>
      <c r="M6" s="49">
        <v>0.15560167778011386</v>
      </c>
      <c r="N6" s="160">
        <f t="shared" ref="N6:N18" si="5">+G6/L6-1</f>
        <v>0.44218249107325369</v>
      </c>
    </row>
    <row r="7" spans="1:14" ht="15" customHeight="1" x14ac:dyDescent="0.2">
      <c r="A7" s="23">
        <v>3</v>
      </c>
      <c r="B7" s="23" t="s">
        <v>54</v>
      </c>
      <c r="C7" s="229">
        <v>260080061.91999999</v>
      </c>
      <c r="D7" s="304">
        <f t="shared" si="0"/>
        <v>0.10196953872904714</v>
      </c>
      <c r="E7" s="236">
        <v>260080061.91999999</v>
      </c>
      <c r="F7" s="306">
        <f t="shared" si="1"/>
        <v>0.10192113904635411</v>
      </c>
      <c r="G7" s="31">
        <v>39304570.729999997</v>
      </c>
      <c r="H7" s="306">
        <f t="shared" si="2"/>
        <v>7.695390928977501E-2</v>
      </c>
      <c r="I7" s="152">
        <f t="shared" si="3"/>
        <v>0.15112488992751005</v>
      </c>
      <c r="J7" s="31">
        <v>7440530</v>
      </c>
      <c r="K7" s="172">
        <f t="shared" si="4"/>
        <v>0.18930444632285137</v>
      </c>
      <c r="L7" s="151">
        <v>36632912.909999996</v>
      </c>
      <c r="M7" s="49">
        <v>0.13602858846262111</v>
      </c>
      <c r="N7" s="160">
        <f t="shared" si="5"/>
        <v>7.2930531802473553E-2</v>
      </c>
    </row>
    <row r="8" spans="1:14" ht="15" customHeight="1" x14ac:dyDescent="0.2">
      <c r="A8" s="23">
        <v>4</v>
      </c>
      <c r="B8" s="23" t="s">
        <v>3</v>
      </c>
      <c r="C8" s="229">
        <v>1052676699.58</v>
      </c>
      <c r="D8" s="304">
        <f t="shared" si="0"/>
        <v>0.41272274658257413</v>
      </c>
      <c r="E8" s="236">
        <v>1053887896.76</v>
      </c>
      <c r="F8" s="306">
        <f t="shared" si="1"/>
        <v>0.41300149681595266</v>
      </c>
      <c r="G8" s="31">
        <v>184604670.88</v>
      </c>
      <c r="H8" s="306">
        <f t="shared" si="2"/>
        <v>0.36143509097086357</v>
      </c>
      <c r="I8" s="152">
        <f t="shared" si="3"/>
        <v>0.17516537712173735</v>
      </c>
      <c r="J8" s="31">
        <v>89140452.870000005</v>
      </c>
      <c r="K8" s="172">
        <f t="shared" si="4"/>
        <v>0.48287214210275681</v>
      </c>
      <c r="L8" s="151">
        <v>171949405.78999999</v>
      </c>
      <c r="M8" s="505">
        <v>0.15859797247565183</v>
      </c>
      <c r="N8" s="160">
        <f t="shared" si="5"/>
        <v>7.3598771870463819E-2</v>
      </c>
    </row>
    <row r="9" spans="1:14" ht="15" customHeight="1" x14ac:dyDescent="0.2">
      <c r="A9" s="25">
        <v>5</v>
      </c>
      <c r="B9" s="25" t="s">
        <v>45</v>
      </c>
      <c r="C9" s="229">
        <v>42135629</v>
      </c>
      <c r="D9" s="304">
        <f t="shared" si="0"/>
        <v>1.6520107775542865E-2</v>
      </c>
      <c r="E9" s="236">
        <v>42135629</v>
      </c>
      <c r="F9" s="306">
        <f t="shared" si="1"/>
        <v>1.6512266532124911E-2</v>
      </c>
      <c r="G9" s="31">
        <v>3704781.71</v>
      </c>
      <c r="H9" s="306">
        <f t="shared" si="2"/>
        <v>7.2535440625522783E-3</v>
      </c>
      <c r="I9" s="152">
        <f t="shared" si="3"/>
        <v>8.7925154979886497E-2</v>
      </c>
      <c r="J9" s="31">
        <v>1860251.7</v>
      </c>
      <c r="K9" s="172">
        <f t="shared" si="4"/>
        <v>0.50212181057220773</v>
      </c>
      <c r="L9" s="155">
        <v>3882120.24</v>
      </c>
      <c r="M9" s="49">
        <v>0.12477581514620914</v>
      </c>
      <c r="N9" s="161">
        <f t="shared" si="5"/>
        <v>-4.5680844238868867E-2</v>
      </c>
    </row>
    <row r="10" spans="1:14" ht="15" customHeight="1" x14ac:dyDescent="0.2">
      <c r="A10" s="9"/>
      <c r="B10" s="2" t="s">
        <v>4</v>
      </c>
      <c r="C10" s="181">
        <f>SUM(C5:C9)</f>
        <v>2354409500.5</v>
      </c>
      <c r="D10" s="410">
        <f t="shared" si="0"/>
        <v>0.92309286983759153</v>
      </c>
      <c r="E10" s="171">
        <f>SUM(E5:E9)</f>
        <v>2355620697.6800003</v>
      </c>
      <c r="F10" s="307">
        <f>E10/E18</f>
        <v>0.92312937368710468</v>
      </c>
      <c r="G10" s="92">
        <f>SUM(G5:G9)</f>
        <v>510329635.81999999</v>
      </c>
      <c r="H10" s="307">
        <f>G10/G18</f>
        <v>0.99916777548727087</v>
      </c>
      <c r="I10" s="93">
        <f t="shared" ref="I10:I18" si="6">+G10/E10</f>
        <v>0.2166433824947338</v>
      </c>
      <c r="J10" s="92">
        <f>SUM(J5:J9)</f>
        <v>271841501</v>
      </c>
      <c r="K10" s="190">
        <f t="shared" ref="K10:K18" si="7">+J10/G10</f>
        <v>0.53267825718803075</v>
      </c>
      <c r="L10" s="92">
        <f>SUM(L5:L9)</f>
        <v>473225243.75</v>
      </c>
      <c r="M10" s="44">
        <v>0.20457331760245454</v>
      </c>
      <c r="N10" s="162">
        <f t="shared" si="5"/>
        <v>7.8407465704855461E-2</v>
      </c>
    </row>
    <row r="11" spans="1:14" ht="15" customHeight="1" x14ac:dyDescent="0.2">
      <c r="A11" s="21">
        <v>6</v>
      </c>
      <c r="B11" s="21" t="s">
        <v>46</v>
      </c>
      <c r="C11" s="229">
        <v>500080</v>
      </c>
      <c r="D11" s="304">
        <f t="shared" si="0"/>
        <v>1.9606626725314759E-4</v>
      </c>
      <c r="E11" s="236">
        <v>500080</v>
      </c>
      <c r="F11" s="306">
        <f>E11/E18</f>
        <v>1.9597320470485978E-4</v>
      </c>
      <c r="G11" s="31">
        <v>47040</v>
      </c>
      <c r="H11" s="306">
        <f>G11/G18</f>
        <v>9.2099005936427809E-5</v>
      </c>
      <c r="I11" s="152">
        <f t="shared" si="6"/>
        <v>9.4064949608062706E-2</v>
      </c>
      <c r="J11" s="31">
        <v>47040</v>
      </c>
      <c r="K11" s="412">
        <f>+J11/G11</f>
        <v>1</v>
      </c>
      <c r="L11" s="154">
        <v>0</v>
      </c>
      <c r="M11" s="53">
        <v>0</v>
      </c>
      <c r="N11" s="159" t="s">
        <v>135</v>
      </c>
    </row>
    <row r="12" spans="1:14" ht="15" customHeight="1" x14ac:dyDescent="0.2">
      <c r="A12" s="25">
        <v>7</v>
      </c>
      <c r="B12" s="25" t="s">
        <v>6</v>
      </c>
      <c r="C12" s="229">
        <v>29106649</v>
      </c>
      <c r="D12" s="304">
        <f t="shared" si="0"/>
        <v>1.1411838149251242E-2</v>
      </c>
      <c r="E12" s="236">
        <v>29106649</v>
      </c>
      <c r="F12" s="308">
        <f>E12/E18</f>
        <v>1.1406421538052916E-2</v>
      </c>
      <c r="G12" s="31">
        <v>67497.919999999998</v>
      </c>
      <c r="H12" s="308">
        <f>G12/G18</f>
        <v>1.3215330218487519E-4</v>
      </c>
      <c r="I12" s="153">
        <f t="shared" si="6"/>
        <v>2.3189862907269055E-3</v>
      </c>
      <c r="J12" s="31">
        <v>0</v>
      </c>
      <c r="K12" s="412" t="s">
        <v>135</v>
      </c>
      <c r="L12" s="155">
        <v>37335.599999999999</v>
      </c>
      <c r="M12" s="385">
        <v>2.3397513830851258E-3</v>
      </c>
      <c r="N12" s="185">
        <f t="shared" si="5"/>
        <v>0.80787023644992995</v>
      </c>
    </row>
    <row r="13" spans="1:14" ht="15" customHeight="1" x14ac:dyDescent="0.2">
      <c r="A13" s="9"/>
      <c r="B13" s="2" t="s">
        <v>7</v>
      </c>
      <c r="C13" s="181">
        <f>SUM(C11:C12)</f>
        <v>29606729</v>
      </c>
      <c r="D13" s="410">
        <f t="shared" si="0"/>
        <v>1.160790441650439E-2</v>
      </c>
      <c r="E13" s="171">
        <f>SUM(E11:E12)</f>
        <v>29606729</v>
      </c>
      <c r="F13" s="307">
        <f>E13/E18</f>
        <v>1.1602394742757776E-2</v>
      </c>
      <c r="G13" s="92">
        <f>SUM(G11:G12)</f>
        <v>114537.92</v>
      </c>
      <c r="H13" s="307">
        <f>G13/G18</f>
        <v>2.24252308121303E-4</v>
      </c>
      <c r="I13" s="93">
        <f t="shared" si="6"/>
        <v>3.8686448611057302E-3</v>
      </c>
      <c r="J13" s="92">
        <f>SUM(J11:J12)</f>
        <v>47040</v>
      </c>
      <c r="K13" s="93">
        <f>+J13/G13</f>
        <v>0.41069368118436234</v>
      </c>
      <c r="L13" s="92">
        <f>SUM(L11:L12)</f>
        <v>37335.599999999999</v>
      </c>
      <c r="M13" s="44">
        <v>1.5901577482688918E-3</v>
      </c>
      <c r="N13" s="162">
        <f t="shared" si="5"/>
        <v>2.0677937410942908</v>
      </c>
    </row>
    <row r="14" spans="1:14" ht="15" customHeight="1" x14ac:dyDescent="0.2">
      <c r="A14" s="21">
        <v>8</v>
      </c>
      <c r="B14" s="21" t="s">
        <v>469</v>
      </c>
      <c r="C14" s="229">
        <v>5000000</v>
      </c>
      <c r="D14" s="304">
        <f t="shared" si="0"/>
        <v>1.9603490166888058E-3</v>
      </c>
      <c r="E14" s="236">
        <v>5000000</v>
      </c>
      <c r="F14" s="308">
        <f>E14/$E$18</f>
        <v>1.9594185400821844E-3</v>
      </c>
      <c r="G14" s="31">
        <v>0</v>
      </c>
      <c r="H14" s="310" t="s">
        <v>135</v>
      </c>
      <c r="I14" s="86" t="s">
        <v>135</v>
      </c>
      <c r="J14" s="31">
        <v>0</v>
      </c>
      <c r="K14" s="172" t="s">
        <v>135</v>
      </c>
      <c r="L14" s="154">
        <v>0</v>
      </c>
      <c r="M14" s="61">
        <v>0</v>
      </c>
      <c r="N14" s="163" t="s">
        <v>135</v>
      </c>
    </row>
    <row r="15" spans="1:14" ht="15" customHeight="1" x14ac:dyDescent="0.2">
      <c r="A15" s="25">
        <v>9</v>
      </c>
      <c r="B15" s="25" t="s">
        <v>9</v>
      </c>
      <c r="C15" s="229">
        <v>161550000</v>
      </c>
      <c r="D15" s="304">
        <f t="shared" si="0"/>
        <v>6.3338876729215315E-2</v>
      </c>
      <c r="E15" s="236">
        <v>161550000</v>
      </c>
      <c r="F15" s="308">
        <f>E15/$E$18</f>
        <v>6.330881303005538E-2</v>
      </c>
      <c r="G15" s="31">
        <v>310524.65999999997</v>
      </c>
      <c r="H15" s="308">
        <f>G15/G18</f>
        <v>6.0797220460772163E-4</v>
      </c>
      <c r="I15" s="153">
        <f t="shared" si="6"/>
        <v>1.9221582172701949E-3</v>
      </c>
      <c r="J15" s="31">
        <v>310524.65999999997</v>
      </c>
      <c r="K15" s="466">
        <f t="shared" si="7"/>
        <v>1</v>
      </c>
      <c r="L15" s="155">
        <v>240586.67</v>
      </c>
      <c r="M15" s="308">
        <v>1.8393476299694192E-3</v>
      </c>
      <c r="N15" s="161">
        <f t="shared" si="5"/>
        <v>0.29069769326787709</v>
      </c>
    </row>
    <row r="16" spans="1:14" ht="15" customHeight="1" x14ac:dyDescent="0.2">
      <c r="A16" s="9"/>
      <c r="B16" s="2" t="s">
        <v>10</v>
      </c>
      <c r="C16" s="181">
        <f>SUM(C14:C15)</f>
        <v>166550000</v>
      </c>
      <c r="D16" s="423">
        <f t="shared" si="0"/>
        <v>6.5299225745904119E-2</v>
      </c>
      <c r="E16" s="171">
        <f>SUM(E14:E15)</f>
        <v>166550000</v>
      </c>
      <c r="F16" s="307">
        <f>E16/E18</f>
        <v>6.5268231570137572E-2</v>
      </c>
      <c r="G16" s="92">
        <f>SUM(G14:G15)</f>
        <v>310524.65999999997</v>
      </c>
      <c r="H16" s="307">
        <f>G16/G18</f>
        <v>6.0797220460772163E-4</v>
      </c>
      <c r="I16" s="93">
        <f t="shared" si="6"/>
        <v>1.8644530771540076E-3</v>
      </c>
      <c r="J16" s="92">
        <f>SUM(J14:J15)</f>
        <v>310524.65999999997</v>
      </c>
      <c r="K16" s="190">
        <f t="shared" si="7"/>
        <v>1</v>
      </c>
      <c r="L16" s="92">
        <f>SUM(L14:L15)</f>
        <v>240586.67</v>
      </c>
      <c r="M16" s="44">
        <v>1.0138502311904665E-3</v>
      </c>
      <c r="N16" s="162">
        <f t="shared" si="5"/>
        <v>0.29069769326787709</v>
      </c>
    </row>
    <row r="17" spans="1:14" ht="15" customHeight="1" thickBot="1" x14ac:dyDescent="0.25">
      <c r="A17" s="9"/>
      <c r="B17" s="2" t="s">
        <v>449</v>
      </c>
      <c r="C17" s="181">
        <v>0</v>
      </c>
      <c r="D17" s="410" t="s">
        <v>135</v>
      </c>
      <c r="E17" s="171"/>
      <c r="F17" s="307">
        <f>E17/E18</f>
        <v>0</v>
      </c>
      <c r="G17" s="92">
        <v>0</v>
      </c>
      <c r="H17" s="307" t="s">
        <v>135</v>
      </c>
      <c r="I17" s="98" t="s">
        <v>135</v>
      </c>
      <c r="J17" s="92">
        <v>0</v>
      </c>
      <c r="K17" s="190" t="s">
        <v>135</v>
      </c>
      <c r="L17" s="92">
        <v>0</v>
      </c>
      <c r="M17" s="394" t="s">
        <v>135</v>
      </c>
      <c r="N17" s="162"/>
    </row>
    <row r="18" spans="1:14" s="6" customFormat="1" ht="19.5" customHeight="1" thickBot="1" x14ac:dyDescent="0.25">
      <c r="A18" s="5"/>
      <c r="B18" s="4" t="s">
        <v>55</v>
      </c>
      <c r="C18" s="182">
        <f>C10+C13+C16+C17</f>
        <v>2550566229.5</v>
      </c>
      <c r="D18" s="309" t="s">
        <v>135</v>
      </c>
      <c r="E18" s="173">
        <f t="shared" ref="E18:G18" si="8">+E10+E13+E16+E17</f>
        <v>2551777426.6800003</v>
      </c>
      <c r="F18" s="309" t="s">
        <v>135</v>
      </c>
      <c r="G18" s="174">
        <f t="shared" si="8"/>
        <v>510754698.40000004</v>
      </c>
      <c r="H18" s="309" t="s">
        <v>135</v>
      </c>
      <c r="I18" s="175">
        <f t="shared" si="6"/>
        <v>0.2001564450958089</v>
      </c>
      <c r="J18" s="174">
        <f>+J10+J13+J16+J17</f>
        <v>272199065.66000003</v>
      </c>
      <c r="K18" s="194">
        <f t="shared" si="7"/>
        <v>0.5329350204955452</v>
      </c>
      <c r="L18" s="165">
        <f>+L10+L13+L16</f>
        <v>473503166.02000004</v>
      </c>
      <c r="M18" s="211">
        <v>0.18395546935080223</v>
      </c>
      <c r="N18" s="164">
        <f t="shared" si="5"/>
        <v>7.867219282421134E-2</v>
      </c>
    </row>
    <row r="19" spans="1:14" x14ac:dyDescent="0.2">
      <c r="A19" s="289" t="s">
        <v>509</v>
      </c>
      <c r="B19" s="289"/>
    </row>
    <row r="29" spans="1:14" x14ac:dyDescent="0.2">
      <c r="E29" s="47"/>
    </row>
  </sheetData>
  <mergeCells count="2">
    <mergeCell ref="L2:M2"/>
    <mergeCell ref="E2:K2"/>
  </mergeCells>
  <dataValidations count="1">
    <dataValidation type="list" allowBlank="1" showInputMessage="1" showErrorMessage="1" sqref="C23">
      <formula1>"Hola,Adeu"</formula1>
    </dataValidation>
  </dataValidations>
  <printOptions horizontalCentered="1"/>
  <pageMargins left="0.51181102362204722" right="0.51181102362204722" top="1.1417322834645669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  <ignoredErrors>
    <ignoredError sqref="F10 K10 D10 F13 D16 D13 F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workbookViewId="0">
      <selection activeCell="K10" sqref="K10"/>
    </sheetView>
  </sheetViews>
  <sheetFormatPr defaultColWidth="11.42578125" defaultRowHeight="12.75" x14ac:dyDescent="0.2"/>
  <cols>
    <col min="1" max="1" width="23" customWidth="1"/>
    <col min="2" max="2" width="11.42578125" style="47" bestFit="1" customWidth="1"/>
    <col min="3" max="3" width="13.28515625" style="47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140</v>
      </c>
    </row>
    <row r="3" spans="1:13" ht="25.5" x14ac:dyDescent="0.2">
      <c r="A3" s="2" t="s">
        <v>153</v>
      </c>
      <c r="B3" s="48" t="s">
        <v>13</v>
      </c>
      <c r="C3" s="48" t="s">
        <v>14</v>
      </c>
      <c r="D3" s="48" t="s">
        <v>15</v>
      </c>
      <c r="E3" s="48" t="s">
        <v>18</v>
      </c>
      <c r="F3" s="48" t="s">
        <v>16</v>
      </c>
      <c r="G3" s="48" t="s">
        <v>18</v>
      </c>
      <c r="H3" s="48" t="s">
        <v>17</v>
      </c>
      <c r="I3" s="48" t="s">
        <v>18</v>
      </c>
    </row>
    <row r="4" spans="1:13" s="52" customFormat="1" x14ac:dyDescent="0.2">
      <c r="A4" s="51" t="s">
        <v>141</v>
      </c>
      <c r="B4" s="58">
        <f>+DCap!C17-'ICap '!C18</f>
        <v>0</v>
      </c>
      <c r="C4" s="58">
        <f>+DCap!E17-'ICap '!E18</f>
        <v>0</v>
      </c>
      <c r="D4" s="58"/>
      <c r="E4" s="58"/>
      <c r="F4" s="58"/>
      <c r="G4" s="58"/>
      <c r="H4" s="58"/>
      <c r="I4" s="58"/>
    </row>
    <row r="5" spans="1:13" s="52" customFormat="1" x14ac:dyDescent="0.2">
      <c r="A5" s="51" t="s">
        <v>142</v>
      </c>
      <c r="B5" s="58">
        <f>+DProg!C76-DCap!C17</f>
        <v>0</v>
      </c>
      <c r="C5" s="58">
        <f>+DProg!D76-DCap!E17</f>
        <v>0</v>
      </c>
      <c r="D5" s="58">
        <f>+DProg!E76-DCap!G17</f>
        <v>0</v>
      </c>
      <c r="E5" s="58"/>
      <c r="F5" s="58">
        <f>+DProg!G76-DCap!I17</f>
        <v>0</v>
      </c>
      <c r="G5" s="58"/>
      <c r="H5" s="58">
        <f>+DProg!I76-DCap!K17</f>
        <v>0</v>
      </c>
      <c r="I5" s="58"/>
    </row>
    <row r="6" spans="1:13" s="52" customFormat="1" x14ac:dyDescent="0.2">
      <c r="A6" s="51" t="s">
        <v>143</v>
      </c>
      <c r="B6" s="58">
        <f>+DOrg!C27-DCap!C17</f>
        <v>0</v>
      </c>
      <c r="C6" s="58">
        <f>+DOrg!D27-DCap!E17</f>
        <v>0</v>
      </c>
      <c r="D6" s="58">
        <f>+DOrg!E27-DCap!G17</f>
        <v>0</v>
      </c>
      <c r="E6" s="58"/>
      <c r="F6" s="58">
        <f>+DOrg!G27-DCap!I17</f>
        <v>0</v>
      </c>
      <c r="G6" s="58"/>
      <c r="H6" s="58">
        <f>+DOrg!I27-DCap!K17</f>
        <v>0</v>
      </c>
      <c r="I6" s="58"/>
    </row>
    <row r="7" spans="1:13" x14ac:dyDescent="0.2">
      <c r="A7" s="41" t="s">
        <v>144</v>
      </c>
      <c r="B7" s="33">
        <f>+DOrg!C5-'DCap 01'!C16</f>
        <v>0</v>
      </c>
      <c r="C7" s="33">
        <f>+DOrg!D5-'DCap 01'!D16</f>
        <v>0</v>
      </c>
      <c r="D7" s="33">
        <f>+DOrg!E5-'DCap 01'!E16</f>
        <v>0</v>
      </c>
      <c r="E7" s="33"/>
      <c r="F7" s="33">
        <f>+DOrg!G5-'DCap 01'!G16</f>
        <v>0</v>
      </c>
      <c r="G7" s="33"/>
      <c r="H7" s="33">
        <f>+DOrg!I5-'DCap 01'!I16</f>
        <v>0</v>
      </c>
      <c r="I7" s="58"/>
    </row>
    <row r="8" spans="1:13" x14ac:dyDescent="0.2">
      <c r="A8" s="41" t="s">
        <v>145</v>
      </c>
      <c r="B8" s="33">
        <f>+DOrg!C6-'DCap 02'!C17</f>
        <v>0</v>
      </c>
      <c r="C8" s="33">
        <f>+DOrg!D6-'DCap 02'!D17</f>
        <v>0</v>
      </c>
      <c r="D8" s="33">
        <f>+DOrg!E6-'DCap 02'!E17</f>
        <v>0</v>
      </c>
      <c r="E8" s="33"/>
      <c r="F8" s="33">
        <f>+DOrg!G6-'DCap 02'!G17</f>
        <v>0</v>
      </c>
      <c r="G8" s="33"/>
      <c r="H8" s="33">
        <f>+DOrg!I6-'DCap 02'!I17</f>
        <v>0</v>
      </c>
      <c r="I8" s="58"/>
      <c r="M8" s="540"/>
    </row>
    <row r="9" spans="1:13" x14ac:dyDescent="0.2">
      <c r="A9" s="41" t="s">
        <v>146</v>
      </c>
      <c r="B9" s="33">
        <f>+DOrg!C9-'DCap 0502'!C16</f>
        <v>0</v>
      </c>
      <c r="C9" s="33">
        <f>+DOrg!D9-'DCap 0502'!D16</f>
        <v>0</v>
      </c>
      <c r="D9" s="33">
        <f>+DOrg!E9-'DCap 0502'!E16</f>
        <v>0</v>
      </c>
      <c r="E9" s="33"/>
      <c r="F9" s="33">
        <f>+DOrg!G9-'DCap 0502'!G16</f>
        <v>0</v>
      </c>
      <c r="G9" s="33"/>
      <c r="H9" s="33">
        <f>+DOrg!I9-'DCap 0502'!I16</f>
        <v>0</v>
      </c>
      <c r="I9" s="58"/>
    </row>
    <row r="10" spans="1:13" x14ac:dyDescent="0.2">
      <c r="A10" s="41" t="s">
        <v>147</v>
      </c>
      <c r="B10" s="33">
        <f>+DOrg!C7-'DCap 04'!C16</f>
        <v>0</v>
      </c>
      <c r="C10" s="33">
        <f>+DOrg!D7-'DCap 04'!D16</f>
        <v>0</v>
      </c>
      <c r="D10" s="33">
        <f>+DOrg!E7-'DCap 04'!E16</f>
        <v>0</v>
      </c>
      <c r="E10" s="33"/>
      <c r="F10" s="33">
        <f>+DOrg!G7-'DCap 04'!G16</f>
        <v>0</v>
      </c>
      <c r="G10" s="33"/>
      <c r="H10" s="33">
        <f>+DOrg!I7-'DCap 04'!I16</f>
        <v>0</v>
      </c>
      <c r="I10" s="58"/>
    </row>
    <row r="11" spans="1:13" x14ac:dyDescent="0.2">
      <c r="A11" s="41" t="s">
        <v>148</v>
      </c>
      <c r="B11" s="33">
        <f>+DOrg!C8-'DCap 0501'!C16</f>
        <v>0</v>
      </c>
      <c r="C11" s="33">
        <f>+DOrg!D8-'DCap 0501'!D16</f>
        <v>0</v>
      </c>
      <c r="D11" s="33">
        <f>+DOrg!E8-'DCap 0501'!E16</f>
        <v>0</v>
      </c>
      <c r="E11" s="33"/>
      <c r="F11" s="33">
        <f>+DOrg!G8-'DCap 0501'!G16</f>
        <v>0</v>
      </c>
      <c r="G11" s="33"/>
      <c r="H11" s="33">
        <f>+DOrg!I8-'DCap 0501'!I16</f>
        <v>0</v>
      </c>
      <c r="I11" s="58"/>
    </row>
    <row r="12" spans="1:13" x14ac:dyDescent="0.2">
      <c r="A12" s="41" t="s">
        <v>149</v>
      </c>
      <c r="B12" s="33">
        <f>+DOrg!C12-'DCap 07'!C16</f>
        <v>0</v>
      </c>
      <c r="C12" s="33">
        <f>+DOrg!D12-'DCap 07'!D16</f>
        <v>0</v>
      </c>
      <c r="D12" s="33">
        <f>+DOrg!E12-'DCap 07'!E16</f>
        <v>0</v>
      </c>
      <c r="E12" s="33"/>
      <c r="F12" s="33">
        <f>+DOrg!G12-'DCap 07'!G16</f>
        <v>0</v>
      </c>
      <c r="G12" s="33"/>
      <c r="H12" s="33">
        <f>+DOrg!I12-'DCap 07'!I16</f>
        <v>0</v>
      </c>
      <c r="I12" s="58"/>
    </row>
    <row r="13" spans="1:13" x14ac:dyDescent="0.2">
      <c r="A13" s="41" t="s">
        <v>150</v>
      </c>
      <c r="B13" s="33">
        <f>+DOrg!C14-'DCap 08'!C16</f>
        <v>0</v>
      </c>
      <c r="C13" s="33">
        <f>+DOrg!D14-'DCap 08'!D16</f>
        <v>0</v>
      </c>
      <c r="D13" s="33">
        <f>+DOrg!E14-'DCap 08'!E16</f>
        <v>0</v>
      </c>
      <c r="E13" s="33"/>
      <c r="F13" s="33">
        <f>+DOrg!G14-'DCap 08'!G16</f>
        <v>0</v>
      </c>
      <c r="G13" s="33"/>
      <c r="H13" s="33">
        <f>+DOrg!I14-'DCap 08'!I16</f>
        <v>0</v>
      </c>
      <c r="I13" s="58"/>
    </row>
    <row r="14" spans="1:13" x14ac:dyDescent="0.2">
      <c r="A14" s="41" t="s">
        <v>151</v>
      </c>
      <c r="B14" s="33">
        <f>+DOrg!C13-'DCap 0703'!C17</f>
        <v>0</v>
      </c>
      <c r="C14" s="33">
        <f>+DOrg!D13-'DCap 0703'!D17</f>
        <v>0</v>
      </c>
      <c r="D14" s="33">
        <f>+DOrg!E13-'DCap 0703'!E17</f>
        <v>0</v>
      </c>
      <c r="E14" s="33"/>
      <c r="F14" s="33">
        <f>+DOrg!G13-'DCap 0703'!G17</f>
        <v>0</v>
      </c>
      <c r="G14" s="33"/>
      <c r="H14" s="33">
        <f>+DOrg!I13-'DCap 0703'!I17</f>
        <v>0</v>
      </c>
      <c r="I14" s="58"/>
    </row>
    <row r="15" spans="1:13" x14ac:dyDescent="0.2">
      <c r="A15" s="41" t="s">
        <v>152</v>
      </c>
      <c r="B15" s="33">
        <f>+DOrg!C26-'DCap 06'!C16</f>
        <v>0</v>
      </c>
      <c r="C15" s="33">
        <f>+DOrg!D26-'DCap 06'!D16</f>
        <v>0</v>
      </c>
      <c r="D15" s="33">
        <f>+DOrg!E26-'DCap 06'!E16</f>
        <v>0</v>
      </c>
      <c r="E15" s="33"/>
      <c r="F15" s="33">
        <f>+DOrg!G26-'DCap 06'!G16</f>
        <v>0</v>
      </c>
      <c r="G15" s="33"/>
      <c r="H15" s="33">
        <f>+DOrg!I26-'DCap 06'!I16</f>
        <v>0</v>
      </c>
      <c r="I15" s="58"/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Serveis de Pressupost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R82"/>
  <sheetViews>
    <sheetView topLeftCell="A21" zoomScale="85" zoomScaleNormal="85" workbookViewId="0">
      <selection activeCell="F31" sqref="F31"/>
    </sheetView>
  </sheetViews>
  <sheetFormatPr defaultColWidth="11.42578125" defaultRowHeight="12.75" x14ac:dyDescent="0.2"/>
  <cols>
    <col min="1" max="1" width="2.7109375" customWidth="1"/>
    <col min="2" max="2" width="35.28515625" customWidth="1"/>
    <col min="3" max="3" width="13.28515625" bestFit="1" customWidth="1"/>
    <col min="4" max="4" width="13.140625" bestFit="1" customWidth="1"/>
    <col min="5" max="5" width="11.5703125" bestFit="1" customWidth="1"/>
    <col min="6" max="6" width="8" style="105" customWidth="1"/>
    <col min="7" max="7" width="11.140625" bestFit="1" customWidth="1"/>
    <col min="8" max="8" width="6.140625" style="105" customWidth="1"/>
    <col min="9" max="9" width="11.28515625" customWidth="1"/>
    <col min="10" max="10" width="10.5703125" style="105" bestFit="1" customWidth="1"/>
    <col min="11" max="11" width="7.140625" style="105" bestFit="1" customWidth="1"/>
    <col min="12" max="12" width="21.7109375" style="64" bestFit="1" customWidth="1"/>
    <col min="14" max="14" width="12.7109375" bestFit="1" customWidth="1"/>
    <col min="16" max="16" width="12.7109375" bestFit="1" customWidth="1"/>
  </cols>
  <sheetData>
    <row r="1" spans="1:17" ht="15.75" thickBot="1" x14ac:dyDescent="0.3">
      <c r="A1" s="7" t="s">
        <v>234</v>
      </c>
      <c r="E1" t="s">
        <v>154</v>
      </c>
    </row>
    <row r="2" spans="1:17" x14ac:dyDescent="0.2">
      <c r="A2" s="8" t="s">
        <v>297</v>
      </c>
      <c r="C2" s="183" t="s">
        <v>510</v>
      </c>
      <c r="D2" s="574" t="s">
        <v>552</v>
      </c>
      <c r="E2" s="575"/>
      <c r="F2" s="575"/>
      <c r="G2" s="575"/>
      <c r="H2" s="576"/>
      <c r="I2" s="571" t="s">
        <v>553</v>
      </c>
      <c r="J2" s="572"/>
      <c r="K2" s="228"/>
    </row>
    <row r="3" spans="1:17" x14ac:dyDescent="0.2">
      <c r="C3" s="176">
        <v>1</v>
      </c>
      <c r="D3" s="166">
        <v>2</v>
      </c>
      <c r="E3" s="95">
        <v>3</v>
      </c>
      <c r="F3" s="96" t="s">
        <v>39</v>
      </c>
      <c r="G3" s="95">
        <v>4</v>
      </c>
      <c r="H3" s="167" t="s">
        <v>49</v>
      </c>
      <c r="I3" s="95" t="s">
        <v>50</v>
      </c>
      <c r="J3" s="16" t="s">
        <v>51</v>
      </c>
      <c r="K3" s="157" t="s">
        <v>366</v>
      </c>
      <c r="M3" s="399"/>
      <c r="O3" s="399"/>
    </row>
    <row r="4" spans="1:17" ht="25.5" x14ac:dyDescent="0.2">
      <c r="A4" s="1"/>
      <c r="B4" s="2" t="s">
        <v>156</v>
      </c>
      <c r="C4" s="177" t="s">
        <v>47</v>
      </c>
      <c r="D4" s="127" t="s">
        <v>48</v>
      </c>
      <c r="E4" s="97" t="s">
        <v>139</v>
      </c>
      <c r="F4" s="97" t="s">
        <v>18</v>
      </c>
      <c r="G4" s="97" t="s">
        <v>422</v>
      </c>
      <c r="H4" s="128" t="s">
        <v>18</v>
      </c>
      <c r="I4" s="97" t="s">
        <v>139</v>
      </c>
      <c r="J4" s="12" t="s">
        <v>18</v>
      </c>
      <c r="K4" s="158" t="s">
        <v>550</v>
      </c>
      <c r="L4" s="62" t="s">
        <v>169</v>
      </c>
      <c r="M4" s="399"/>
      <c r="O4" s="399"/>
    </row>
    <row r="5" spans="1:17" s="332" customFormat="1" ht="15" customHeight="1" x14ac:dyDescent="0.2">
      <c r="A5" s="326"/>
      <c r="B5" s="326" t="s">
        <v>157</v>
      </c>
      <c r="C5" s="336">
        <v>623411010</v>
      </c>
      <c r="D5" s="337">
        <v>623411010</v>
      </c>
      <c r="E5" s="150">
        <v>230772511.31999999</v>
      </c>
      <c r="F5" s="448">
        <f>+E5/D5</f>
        <v>0.37017715057679201</v>
      </c>
      <c r="G5" s="339">
        <v>133704569.39999999</v>
      </c>
      <c r="H5" s="441">
        <f>+G5/E5</f>
        <v>0.57937823112129228</v>
      </c>
      <c r="I5" s="329">
        <v>215405947.17999998</v>
      </c>
      <c r="J5" s="448">
        <v>0.36396652948740255</v>
      </c>
      <c r="K5" s="330">
        <f>+E5/I5-1</f>
        <v>7.1337696758944302E-2</v>
      </c>
      <c r="L5" s="331" t="s">
        <v>170</v>
      </c>
      <c r="M5" s="399"/>
      <c r="N5"/>
      <c r="O5" s="401"/>
    </row>
    <row r="6" spans="1:17" s="332" customFormat="1" ht="15" customHeight="1" x14ac:dyDescent="0.2">
      <c r="A6" s="333"/>
      <c r="B6" s="333" t="s">
        <v>159</v>
      </c>
      <c r="C6" s="336">
        <v>58620000</v>
      </c>
      <c r="D6" s="337">
        <v>58620000</v>
      </c>
      <c r="E6" s="150">
        <v>502903.15</v>
      </c>
      <c r="F6" s="383">
        <f t="shared" ref="F6:F67" si="0">+E6/D6</f>
        <v>8.5790370180825661E-3</v>
      </c>
      <c r="G6" s="339">
        <v>488092.96</v>
      </c>
      <c r="H6" s="441">
        <f t="shared" ref="H6:H10" si="1">+G6/E6</f>
        <v>0.97055061198165093</v>
      </c>
      <c r="I6" s="150">
        <v>411425.79</v>
      </c>
      <c r="J6" s="383">
        <v>7.0185225179119747E-3</v>
      </c>
      <c r="K6" s="338">
        <f t="shared" ref="K6:K67" si="2">+E6/I6-1</f>
        <v>0.22234230868220495</v>
      </c>
      <c r="L6" s="334">
        <v>115</v>
      </c>
      <c r="M6" s="399"/>
      <c r="N6"/>
      <c r="O6" s="399"/>
    </row>
    <row r="7" spans="1:17" s="332" customFormat="1" ht="15" customHeight="1" x14ac:dyDescent="0.2">
      <c r="A7" s="333"/>
      <c r="B7" s="333" t="s">
        <v>158</v>
      </c>
      <c r="C7" s="336">
        <v>120814000</v>
      </c>
      <c r="D7" s="337">
        <v>120814000</v>
      </c>
      <c r="E7" s="150">
        <v>29672647.850000001</v>
      </c>
      <c r="F7" s="383">
        <f t="shared" si="0"/>
        <v>0.24560603779363321</v>
      </c>
      <c r="G7" s="339">
        <v>27237524.640000001</v>
      </c>
      <c r="H7" s="441">
        <f t="shared" si="1"/>
        <v>0.91793374078680345</v>
      </c>
      <c r="I7" s="150">
        <v>25868357.32</v>
      </c>
      <c r="J7" s="383">
        <v>0.29514252992116102</v>
      </c>
      <c r="K7" s="338">
        <f t="shared" si="2"/>
        <v>0.14706347538576536</v>
      </c>
      <c r="L7" s="334">
        <v>116</v>
      </c>
      <c r="M7" s="399"/>
      <c r="N7"/>
      <c r="O7" s="399"/>
    </row>
    <row r="8" spans="1:17" s="332" customFormat="1" ht="15" customHeight="1" x14ac:dyDescent="0.2">
      <c r="A8" s="333"/>
      <c r="B8" s="333" t="s">
        <v>160</v>
      </c>
      <c r="C8" s="336">
        <v>89678010</v>
      </c>
      <c r="D8" s="337">
        <v>89678010</v>
      </c>
      <c r="E8" s="150">
        <v>2194290.63</v>
      </c>
      <c r="F8" s="383">
        <f t="shared" si="0"/>
        <v>2.4468547306078715E-2</v>
      </c>
      <c r="G8" s="339">
        <v>422708.63</v>
      </c>
      <c r="H8" s="441">
        <f t="shared" si="1"/>
        <v>0.19264022013346518</v>
      </c>
      <c r="I8" s="150">
        <v>3327215.43</v>
      </c>
      <c r="J8" s="383">
        <v>3.6429893856491279E-2</v>
      </c>
      <c r="K8" s="338">
        <f t="shared" si="2"/>
        <v>-0.34050238820874912</v>
      </c>
      <c r="L8" s="334">
        <v>130</v>
      </c>
      <c r="M8" s="399"/>
      <c r="N8"/>
      <c r="O8" s="399"/>
    </row>
    <row r="9" spans="1:17" s="332" customFormat="1" ht="15" customHeight="1" x14ac:dyDescent="0.2">
      <c r="A9" s="335"/>
      <c r="B9" s="335" t="s">
        <v>363</v>
      </c>
      <c r="C9" s="336">
        <v>10</v>
      </c>
      <c r="D9" s="337">
        <v>10</v>
      </c>
      <c r="E9" s="150">
        <v>0</v>
      </c>
      <c r="F9" s="383" t="s">
        <v>135</v>
      </c>
      <c r="G9" s="339">
        <v>0</v>
      </c>
      <c r="H9" s="441" t="s">
        <v>135</v>
      </c>
      <c r="I9" s="484">
        <v>0</v>
      </c>
      <c r="J9" s="383" t="s">
        <v>135</v>
      </c>
      <c r="K9" s="338" t="s">
        <v>135</v>
      </c>
      <c r="L9" s="334">
        <v>180</v>
      </c>
      <c r="M9" s="399"/>
      <c r="N9" s="399"/>
      <c r="O9" s="399"/>
    </row>
    <row r="10" spans="1:17" s="332" customFormat="1" ht="15" customHeight="1" x14ac:dyDescent="0.2">
      <c r="A10" s="335"/>
      <c r="B10" s="335" t="s">
        <v>161</v>
      </c>
      <c r="C10" s="336">
        <v>16767000</v>
      </c>
      <c r="D10" s="337">
        <v>16767000</v>
      </c>
      <c r="E10" s="150">
        <v>4542915.8099999996</v>
      </c>
      <c r="F10" s="449">
        <f t="shared" si="0"/>
        <v>0.27094386652352831</v>
      </c>
      <c r="G10" s="339">
        <v>4148466.13</v>
      </c>
      <c r="H10" s="441">
        <f t="shared" si="1"/>
        <v>0.91317257539051777</v>
      </c>
      <c r="I10" s="339">
        <v>2209578.35</v>
      </c>
      <c r="J10" s="449">
        <v>0.1482938489932886</v>
      </c>
      <c r="K10" s="340">
        <f t="shared" si="2"/>
        <v>1.0560102835909846</v>
      </c>
      <c r="L10" s="334">
        <v>290</v>
      </c>
      <c r="M10" s="399"/>
      <c r="N10" s="399"/>
      <c r="O10" s="399"/>
    </row>
    <row r="11" spans="1:17" ht="15" customHeight="1" x14ac:dyDescent="0.2">
      <c r="A11" s="9"/>
      <c r="B11" s="2" t="s">
        <v>162</v>
      </c>
      <c r="C11" s="181">
        <f>SUM(C5:C10)</f>
        <v>909290030</v>
      </c>
      <c r="D11" s="171">
        <f>SUM(D5:D10)</f>
        <v>909290030</v>
      </c>
      <c r="E11" s="92">
        <f>SUM(E5:E10)</f>
        <v>267685268.75999999</v>
      </c>
      <c r="F11" s="98">
        <f t="shared" si="0"/>
        <v>0.2943893146612418</v>
      </c>
      <c r="G11" s="92">
        <f>SUM(G5:G10)</f>
        <v>166001361.75999999</v>
      </c>
      <c r="H11" s="190">
        <f>+G11/E11</f>
        <v>0.62013633596263651</v>
      </c>
      <c r="I11" s="92">
        <f>SUM(I5:I10)</f>
        <v>247222524.06999996</v>
      </c>
      <c r="J11" s="44">
        <v>0.29299999999999998</v>
      </c>
      <c r="K11" s="162">
        <f t="shared" si="2"/>
        <v>8.2770551619342214E-2</v>
      </c>
      <c r="M11" s="399"/>
      <c r="N11" s="399"/>
      <c r="O11" s="399"/>
      <c r="P11" s="332"/>
      <c r="Q11" s="332"/>
    </row>
    <row r="12" spans="1:17" s="332" customFormat="1" ht="15" customHeight="1" x14ac:dyDescent="0.2">
      <c r="A12" s="326"/>
      <c r="B12" s="326" t="s">
        <v>163</v>
      </c>
      <c r="C12" s="336">
        <v>90227080</v>
      </c>
      <c r="D12" s="329">
        <v>90227080</v>
      </c>
      <c r="E12" s="329">
        <v>15030343.739999998</v>
      </c>
      <c r="F12" s="448">
        <f t="shared" si="0"/>
        <v>0.16658351062674309</v>
      </c>
      <c r="G12" s="329">
        <v>7398904.6699999999</v>
      </c>
      <c r="H12" s="424">
        <f t="shared" ref="H12:H67" si="3">+G12/E12</f>
        <v>0.49226450159682117</v>
      </c>
      <c r="I12" s="329">
        <v>13538280.74</v>
      </c>
      <c r="J12" s="448">
        <v>0.16059155931290564</v>
      </c>
      <c r="K12" s="330">
        <f t="shared" si="2"/>
        <v>0.11021067066452317</v>
      </c>
      <c r="L12" s="331" t="s">
        <v>171</v>
      </c>
      <c r="M12" s="399"/>
      <c r="N12" s="399"/>
      <c r="O12" s="399"/>
    </row>
    <row r="13" spans="1:17" s="332" customFormat="1" ht="15" customHeight="1" x14ac:dyDescent="0.2">
      <c r="A13" s="335"/>
      <c r="B13" s="335" t="s">
        <v>164</v>
      </c>
      <c r="C13" s="336">
        <v>936468101.54999995</v>
      </c>
      <c r="D13" s="329">
        <v>936468101.54999995</v>
      </c>
      <c r="E13" s="329">
        <v>165529825.07999998</v>
      </c>
      <c r="F13" s="449">
        <f t="shared" si="0"/>
        <v>0.17675970468830968</v>
      </c>
      <c r="G13" s="329">
        <v>81587845.810000002</v>
      </c>
      <c r="H13" s="442">
        <f t="shared" si="3"/>
        <v>0.49288909579025342</v>
      </c>
      <c r="I13" s="339">
        <v>156673836.46000001</v>
      </c>
      <c r="J13" s="449">
        <v>0.16343838151673179</v>
      </c>
      <c r="K13" s="340">
        <f t="shared" si="2"/>
        <v>5.6525000089986177E-2</v>
      </c>
      <c r="L13" s="331" t="s">
        <v>192</v>
      </c>
      <c r="M13" s="399"/>
      <c r="N13" s="399"/>
      <c r="O13" s="399"/>
    </row>
    <row r="14" spans="1:17" ht="15" customHeight="1" x14ac:dyDescent="0.2">
      <c r="A14" s="9"/>
      <c r="B14" s="2" t="s">
        <v>165</v>
      </c>
      <c r="C14" s="181">
        <f>SUM(C12:C13)</f>
        <v>1026695181.55</v>
      </c>
      <c r="D14" s="171">
        <f>SUM(D12:D13)</f>
        <v>1026695181.55</v>
      </c>
      <c r="E14" s="92">
        <f>SUM(E12:E13)</f>
        <v>180560168.81999999</v>
      </c>
      <c r="F14" s="98">
        <f t="shared" si="0"/>
        <v>0.17586540977762125</v>
      </c>
      <c r="G14" s="92">
        <f>SUM(G12:G13)</f>
        <v>88986750.480000004</v>
      </c>
      <c r="H14" s="191">
        <f t="shared" si="3"/>
        <v>0.49283710278710852</v>
      </c>
      <c r="I14" s="92">
        <f>SUM(I12:I13)</f>
        <v>170212117.20000002</v>
      </c>
      <c r="J14" s="44">
        <v>0.16300000000000001</v>
      </c>
      <c r="K14" s="162">
        <f t="shared" si="2"/>
        <v>6.0795034984735929E-2</v>
      </c>
      <c r="M14" s="399"/>
      <c r="N14" s="399"/>
      <c r="O14" s="399"/>
      <c r="P14" s="332"/>
      <c r="Q14" s="332"/>
    </row>
    <row r="15" spans="1:17" s="332" customFormat="1" ht="15" customHeight="1" x14ac:dyDescent="0.2">
      <c r="A15" s="326"/>
      <c r="B15" s="326" t="s">
        <v>166</v>
      </c>
      <c r="C15" s="336">
        <v>16001258</v>
      </c>
      <c r="D15" s="337">
        <v>16001258</v>
      </c>
      <c r="E15" s="329">
        <v>0</v>
      </c>
      <c r="F15" s="450" t="s">
        <v>135</v>
      </c>
      <c r="G15" s="329">
        <v>0</v>
      </c>
      <c r="H15" s="438" t="s">
        <v>135</v>
      </c>
      <c r="I15" s="329">
        <v>0</v>
      </c>
      <c r="J15" s="395" t="s">
        <v>135</v>
      </c>
      <c r="K15" s="330" t="s">
        <v>135</v>
      </c>
      <c r="L15" s="334">
        <v>32600</v>
      </c>
      <c r="M15" s="399"/>
      <c r="N15" s="399"/>
      <c r="O15" s="399"/>
    </row>
    <row r="16" spans="1:17" s="332" customFormat="1" ht="15" customHeight="1" x14ac:dyDescent="0.2">
      <c r="A16" s="326"/>
      <c r="B16" s="326" t="s">
        <v>172</v>
      </c>
      <c r="C16" s="336">
        <v>35354767</v>
      </c>
      <c r="D16" s="337">
        <v>35354767</v>
      </c>
      <c r="E16" s="329">
        <v>0</v>
      </c>
      <c r="F16" s="450" t="s">
        <v>135</v>
      </c>
      <c r="G16" s="329">
        <v>0</v>
      </c>
      <c r="H16" s="438" t="s">
        <v>135</v>
      </c>
      <c r="I16" s="329">
        <v>0</v>
      </c>
      <c r="J16" s="395" t="s">
        <v>135</v>
      </c>
      <c r="K16" s="340" t="s">
        <v>135</v>
      </c>
      <c r="L16" s="334">
        <v>33000</v>
      </c>
      <c r="M16" s="399"/>
      <c r="N16" s="399"/>
      <c r="O16" s="399"/>
    </row>
    <row r="17" spans="1:15" s="332" customFormat="1" ht="15" customHeight="1" x14ac:dyDescent="0.2">
      <c r="A17" s="326"/>
      <c r="B17" s="326" t="s">
        <v>167</v>
      </c>
      <c r="C17" s="378">
        <v>12029885</v>
      </c>
      <c r="D17" s="379">
        <v>12029885</v>
      </c>
      <c r="E17" s="380">
        <v>0</v>
      </c>
      <c r="F17" s="455" t="s">
        <v>135</v>
      </c>
      <c r="G17" s="380">
        <v>0</v>
      </c>
      <c r="H17" s="446" t="s">
        <v>135</v>
      </c>
      <c r="I17" s="342">
        <v>0</v>
      </c>
      <c r="J17" s="395" t="s">
        <v>135</v>
      </c>
      <c r="K17" s="340" t="s">
        <v>135</v>
      </c>
      <c r="L17" s="334">
        <v>30903</v>
      </c>
      <c r="M17" s="399"/>
      <c r="N17" s="399"/>
      <c r="O17" s="399"/>
    </row>
    <row r="18" spans="1:15" s="332" customFormat="1" ht="15" customHeight="1" x14ac:dyDescent="0.2">
      <c r="A18" s="326"/>
      <c r="B18" s="408" t="s">
        <v>168</v>
      </c>
      <c r="C18" s="336">
        <v>15500000</v>
      </c>
      <c r="D18" s="337">
        <v>15500000</v>
      </c>
      <c r="E18" s="329">
        <v>2600805.59</v>
      </c>
      <c r="F18" s="450">
        <f t="shared" si="0"/>
        <v>0.16779390903225805</v>
      </c>
      <c r="G18" s="329">
        <v>853868.98</v>
      </c>
      <c r="H18" s="424">
        <f>+G18/E18</f>
        <v>0.32830942200489505</v>
      </c>
      <c r="I18" s="402">
        <v>2403673.83</v>
      </c>
      <c r="J18" s="487">
        <v>0.15164177843669169</v>
      </c>
      <c r="K18" s="459">
        <f t="shared" si="2"/>
        <v>8.2012691380843439E-2</v>
      </c>
      <c r="L18" s="334">
        <v>301</v>
      </c>
      <c r="M18" s="399"/>
      <c r="N18" s="399"/>
      <c r="O18" s="399"/>
    </row>
    <row r="19" spans="1:15" s="332" customFormat="1" ht="15" customHeight="1" x14ac:dyDescent="0.2">
      <c r="A19" s="326"/>
      <c r="B19" s="407" t="s">
        <v>173</v>
      </c>
      <c r="C19" s="336">
        <v>6068000</v>
      </c>
      <c r="D19" s="337">
        <v>6068000</v>
      </c>
      <c r="E19" s="329">
        <v>780346.75</v>
      </c>
      <c r="F19" s="450">
        <f t="shared" si="0"/>
        <v>0.1286003213579433</v>
      </c>
      <c r="G19" s="329">
        <v>746561.12</v>
      </c>
      <c r="H19" s="424">
        <f t="shared" ref="H19:H26" si="4">+G19/E19</f>
        <v>0.95670433688613432</v>
      </c>
      <c r="I19" s="329">
        <v>1002807.3</v>
      </c>
      <c r="J19" s="395">
        <v>0.20076222222222223</v>
      </c>
      <c r="K19" s="460">
        <f t="shared" si="2"/>
        <v>-0.22183778478676819</v>
      </c>
      <c r="L19" s="334">
        <v>321</v>
      </c>
      <c r="M19" s="399"/>
      <c r="N19" s="399"/>
      <c r="O19" s="399"/>
    </row>
    <row r="20" spans="1:15" s="332" customFormat="1" ht="15" customHeight="1" x14ac:dyDescent="0.2">
      <c r="A20" s="326"/>
      <c r="B20" s="407" t="s">
        <v>174</v>
      </c>
      <c r="C20" s="336">
        <v>16757000.01</v>
      </c>
      <c r="D20" s="337">
        <v>16757000.01</v>
      </c>
      <c r="E20" s="329">
        <v>2801789.79</v>
      </c>
      <c r="F20" s="450">
        <f t="shared" si="0"/>
        <v>0.16720115702858437</v>
      </c>
      <c r="G20" s="329">
        <v>33992.07</v>
      </c>
      <c r="H20" s="424">
        <f t="shared" si="4"/>
        <v>1.2132269923076562E-2</v>
      </c>
      <c r="I20" s="329">
        <v>3737660.96</v>
      </c>
      <c r="J20" s="395">
        <v>0.22818442979242978</v>
      </c>
      <c r="K20" s="460">
        <f t="shared" si="2"/>
        <v>-0.25038952971272166</v>
      </c>
      <c r="L20" s="334">
        <v>331</v>
      </c>
      <c r="M20" s="399"/>
      <c r="N20" s="399"/>
      <c r="O20" s="399"/>
    </row>
    <row r="21" spans="1:15" s="332" customFormat="1" ht="15" customHeight="1" x14ac:dyDescent="0.2">
      <c r="A21" s="326"/>
      <c r="B21" s="407" t="s">
        <v>175</v>
      </c>
      <c r="C21" s="336">
        <v>30559000</v>
      </c>
      <c r="D21" s="337">
        <v>30559000</v>
      </c>
      <c r="E21" s="329">
        <v>3827156.4499999997</v>
      </c>
      <c r="F21" s="450">
        <f t="shared" si="0"/>
        <v>0.1252382751398933</v>
      </c>
      <c r="G21" s="329">
        <v>-1446040.9</v>
      </c>
      <c r="H21" s="424">
        <f t="shared" si="4"/>
        <v>-0.37783689245314234</v>
      </c>
      <c r="I21" s="329">
        <v>0</v>
      </c>
      <c r="J21" s="395" t="s">
        <v>135</v>
      </c>
      <c r="K21" s="460"/>
      <c r="L21" s="362" t="s">
        <v>176</v>
      </c>
      <c r="M21" s="399"/>
      <c r="N21" s="399"/>
      <c r="O21" s="399"/>
    </row>
    <row r="22" spans="1:15" s="332" customFormat="1" ht="15" customHeight="1" x14ac:dyDescent="0.2">
      <c r="A22" s="326"/>
      <c r="B22" s="407" t="s">
        <v>177</v>
      </c>
      <c r="C22" s="336">
        <v>8526999.9900000002</v>
      </c>
      <c r="D22" s="337">
        <v>8526999.9900000002</v>
      </c>
      <c r="E22" s="329">
        <v>2326765.73</v>
      </c>
      <c r="F22" s="450">
        <f t="shared" si="0"/>
        <v>0.2728703802895161</v>
      </c>
      <c r="G22" s="329">
        <v>486119.39</v>
      </c>
      <c r="H22" s="424">
        <f t="shared" si="4"/>
        <v>0.20892493977036528</v>
      </c>
      <c r="I22" s="329">
        <v>3839492.98</v>
      </c>
      <c r="J22" s="395">
        <v>0.47909820064886449</v>
      </c>
      <c r="K22" s="460">
        <f t="shared" si="2"/>
        <v>-0.39399140925112464</v>
      </c>
      <c r="L22" s="362">
        <v>335</v>
      </c>
      <c r="M22" s="399"/>
      <c r="N22" s="399"/>
      <c r="O22" s="399"/>
    </row>
    <row r="23" spans="1:15" s="332" customFormat="1" ht="15" customHeight="1" x14ac:dyDescent="0.2">
      <c r="A23" s="367"/>
      <c r="B23" s="595" t="s">
        <v>178</v>
      </c>
      <c r="C23" s="378">
        <v>3029617.1200000048</v>
      </c>
      <c r="D23" s="379">
        <v>3029617.1200000048</v>
      </c>
      <c r="E23" s="342">
        <v>610432.80999999866</v>
      </c>
      <c r="F23" s="455">
        <f t="shared" si="0"/>
        <v>0.20148843428769564</v>
      </c>
      <c r="G23" s="342">
        <v>273217.2999999997</v>
      </c>
      <c r="H23" s="558">
        <f t="shared" si="4"/>
        <v>0.4475796443510307</v>
      </c>
      <c r="I23" s="485">
        <v>806173.8599999994</v>
      </c>
      <c r="J23" s="488">
        <v>0.17710132388191127</v>
      </c>
      <c r="K23" s="461">
        <f t="shared" si="2"/>
        <v>-0.24280252649223943</v>
      </c>
      <c r="L23" s="366" t="s">
        <v>179</v>
      </c>
      <c r="M23" s="399"/>
      <c r="N23" s="399"/>
      <c r="O23" s="399"/>
    </row>
    <row r="24" spans="1:15" s="332" customFormat="1" ht="15" customHeight="1" x14ac:dyDescent="0.2">
      <c r="A24" s="326"/>
      <c r="B24" s="326" t="s">
        <v>180</v>
      </c>
      <c r="C24" s="336">
        <v>17635000</v>
      </c>
      <c r="D24" s="337">
        <v>17635000</v>
      </c>
      <c r="E24" s="329">
        <v>329431.81</v>
      </c>
      <c r="F24" s="450">
        <f t="shared" si="0"/>
        <v>1.8680567621207827E-2</v>
      </c>
      <c r="G24" s="329">
        <v>135214.53</v>
      </c>
      <c r="H24" s="424">
        <f t="shared" si="4"/>
        <v>0.41044770388141932</v>
      </c>
      <c r="I24" s="329">
        <v>225881.12</v>
      </c>
      <c r="J24" s="395">
        <v>1.2800698175223847E-2</v>
      </c>
      <c r="K24" s="330">
        <f t="shared" si="2"/>
        <v>0.45843003611811373</v>
      </c>
      <c r="L24" s="362">
        <v>34920</v>
      </c>
      <c r="M24" s="399"/>
      <c r="N24" s="399"/>
      <c r="O24" s="399"/>
    </row>
    <row r="25" spans="1:15" s="332" customFormat="1" ht="15" customHeight="1" x14ac:dyDescent="0.2">
      <c r="A25" s="326"/>
      <c r="B25" s="326" t="s">
        <v>181</v>
      </c>
      <c r="C25" s="336">
        <v>6259000</v>
      </c>
      <c r="D25" s="337">
        <v>6259000</v>
      </c>
      <c r="E25" s="329">
        <v>1973016.85</v>
      </c>
      <c r="F25" s="450">
        <f t="shared" si="0"/>
        <v>0.31522876657613041</v>
      </c>
      <c r="G25" s="329">
        <v>200945.96</v>
      </c>
      <c r="H25" s="424">
        <f t="shared" si="4"/>
        <v>0.10184705721089</v>
      </c>
      <c r="I25" s="329">
        <v>2071247.94</v>
      </c>
      <c r="J25" s="395">
        <v>0.35484802809662497</v>
      </c>
      <c r="K25" s="330">
        <f t="shared" si="2"/>
        <v>-4.7426041133443397E-2</v>
      </c>
      <c r="L25" s="362">
        <v>34921</v>
      </c>
      <c r="M25" s="399"/>
      <c r="N25" s="399"/>
      <c r="O25" s="399"/>
    </row>
    <row r="26" spans="1:15" s="332" customFormat="1" ht="15" customHeight="1" x14ac:dyDescent="0.2">
      <c r="A26" s="326"/>
      <c r="B26" s="326" t="s">
        <v>182</v>
      </c>
      <c r="C26" s="336">
        <v>3873362.86</v>
      </c>
      <c r="D26" s="337">
        <v>3873362.86</v>
      </c>
      <c r="E26" s="329">
        <v>425174.64</v>
      </c>
      <c r="F26" s="450">
        <f t="shared" si="0"/>
        <v>0.10976886374131238</v>
      </c>
      <c r="G26" s="329">
        <v>407562.98</v>
      </c>
      <c r="H26" s="424">
        <f t="shared" si="4"/>
        <v>0.9585778211042878</v>
      </c>
      <c r="I26" s="379">
        <v>485618.41999999993</v>
      </c>
      <c r="J26" s="395">
        <v>5.9736056846493746E-2</v>
      </c>
      <c r="K26" s="330">
        <f t="shared" si="2"/>
        <v>-0.12446764272244848</v>
      </c>
      <c r="L26" s="409" t="s">
        <v>357</v>
      </c>
      <c r="M26" s="399"/>
      <c r="N26" s="399"/>
      <c r="O26" s="399"/>
    </row>
    <row r="27" spans="1:15" s="332" customFormat="1" ht="15" customHeight="1" x14ac:dyDescent="0.2">
      <c r="A27" s="344"/>
      <c r="B27" s="344" t="s">
        <v>556</v>
      </c>
      <c r="C27" s="345">
        <v>10</v>
      </c>
      <c r="D27" s="346">
        <v>10</v>
      </c>
      <c r="E27" s="347">
        <v>0</v>
      </c>
      <c r="F27" s="432" t="s">
        <v>135</v>
      </c>
      <c r="G27" s="347">
        <v>0</v>
      </c>
      <c r="H27" s="348" t="s">
        <v>135</v>
      </c>
      <c r="I27" s="346">
        <v>0</v>
      </c>
      <c r="J27" s="489" t="s">
        <v>135</v>
      </c>
      <c r="K27" s="349" t="s">
        <v>135</v>
      </c>
      <c r="L27" s="362">
        <v>35</v>
      </c>
      <c r="M27" s="399"/>
      <c r="N27" s="399"/>
      <c r="O27" s="399"/>
    </row>
    <row r="28" spans="1:15" s="332" customFormat="1" ht="15" customHeight="1" x14ac:dyDescent="0.2">
      <c r="A28" s="326"/>
      <c r="B28" s="326" t="s">
        <v>183</v>
      </c>
      <c r="C28" s="351">
        <v>6100000</v>
      </c>
      <c r="D28" s="217">
        <v>6100000</v>
      </c>
      <c r="E28" s="356">
        <v>957810.51</v>
      </c>
      <c r="F28" s="450">
        <f t="shared" si="0"/>
        <v>0.15701811639344262</v>
      </c>
      <c r="G28" s="329">
        <v>0</v>
      </c>
      <c r="H28" s="424" t="s">
        <v>135</v>
      </c>
      <c r="I28" s="329">
        <v>1294487.02</v>
      </c>
      <c r="J28" s="395">
        <v>0.16481882098293862</v>
      </c>
      <c r="K28" s="330">
        <f t="shared" si="2"/>
        <v>-0.2600848867530553</v>
      </c>
      <c r="L28" s="362">
        <v>36500</v>
      </c>
      <c r="M28" s="399"/>
      <c r="N28" s="399"/>
      <c r="O28" s="399"/>
    </row>
    <row r="29" spans="1:15" s="332" customFormat="1" ht="15" customHeight="1" x14ac:dyDescent="0.2">
      <c r="A29" s="341"/>
      <c r="B29" s="341" t="s">
        <v>184</v>
      </c>
      <c r="C29" s="541">
        <v>390340</v>
      </c>
      <c r="D29" s="542">
        <v>390340</v>
      </c>
      <c r="E29" s="368">
        <v>37258.309999999939</v>
      </c>
      <c r="F29" s="411">
        <f t="shared" si="0"/>
        <v>9.545091458728272E-2</v>
      </c>
      <c r="G29" s="342">
        <v>9.6199999999999992</v>
      </c>
      <c r="H29" s="443">
        <f t="shared" si="3"/>
        <v>2.5819743300219507E-4</v>
      </c>
      <c r="I29" s="342">
        <v>15667.5</v>
      </c>
      <c r="J29" s="488">
        <v>4.0138084746631143E-2</v>
      </c>
      <c r="K29" s="343">
        <f t="shared" si="2"/>
        <v>1.3780635072602481</v>
      </c>
      <c r="L29" s="366" t="s">
        <v>186</v>
      </c>
      <c r="N29"/>
    </row>
    <row r="30" spans="1:15" s="332" customFormat="1" ht="15" customHeight="1" x14ac:dyDescent="0.2">
      <c r="A30" s="326"/>
      <c r="B30" s="326" t="s">
        <v>185</v>
      </c>
      <c r="C30" s="351">
        <v>870323.98</v>
      </c>
      <c r="D30" s="217">
        <v>870323.98</v>
      </c>
      <c r="E30" s="141">
        <v>324008</v>
      </c>
      <c r="F30" s="450">
        <f t="shared" si="0"/>
        <v>0.37228435323590647</v>
      </c>
      <c r="G30" s="141">
        <v>324008</v>
      </c>
      <c r="H30" s="444">
        <f t="shared" si="3"/>
        <v>1</v>
      </c>
      <c r="I30" s="329">
        <v>406475.39</v>
      </c>
      <c r="J30" s="487">
        <v>0.41204709076127394</v>
      </c>
      <c r="K30" s="462">
        <f t="shared" si="2"/>
        <v>-0.20288409096550719</v>
      </c>
      <c r="L30" s="334">
        <v>38</v>
      </c>
      <c r="N30"/>
    </row>
    <row r="31" spans="1:15" s="332" customFormat="1" ht="15" customHeight="1" x14ac:dyDescent="0.2">
      <c r="A31" s="326"/>
      <c r="B31" s="326" t="s">
        <v>187</v>
      </c>
      <c r="C31" s="351">
        <v>51560750.68</v>
      </c>
      <c r="D31" s="217">
        <v>51560750.68</v>
      </c>
      <c r="E31" s="141">
        <v>19842008.960000001</v>
      </c>
      <c r="F31" s="450">
        <f t="shared" si="0"/>
        <v>0.38482777497063392</v>
      </c>
      <c r="G31" s="141">
        <v>3775034.99</v>
      </c>
      <c r="H31" s="444">
        <f t="shared" si="3"/>
        <v>0.19025467620794784</v>
      </c>
      <c r="I31" s="329">
        <v>16986397.309999999</v>
      </c>
      <c r="J31" s="395">
        <v>0.31806584295794238</v>
      </c>
      <c r="K31" s="330">
        <f t="shared" si="2"/>
        <v>0.16811167182100983</v>
      </c>
      <c r="L31" s="334">
        <v>391</v>
      </c>
      <c r="N31"/>
    </row>
    <row r="32" spans="1:15" s="332" customFormat="1" ht="15" customHeight="1" x14ac:dyDescent="0.2">
      <c r="A32" s="326"/>
      <c r="B32" s="326" t="s">
        <v>188</v>
      </c>
      <c r="C32" s="351">
        <v>10708000</v>
      </c>
      <c r="D32" s="217">
        <v>10708000</v>
      </c>
      <c r="E32" s="141">
        <v>939534.96</v>
      </c>
      <c r="F32" s="450">
        <f t="shared" si="0"/>
        <v>8.7741404557340308E-2</v>
      </c>
      <c r="G32" s="141">
        <v>939534.96</v>
      </c>
      <c r="H32" s="444">
        <f t="shared" si="3"/>
        <v>1</v>
      </c>
      <c r="I32" s="329">
        <v>1472952.68</v>
      </c>
      <c r="J32" s="395">
        <v>0.14276947562275855</v>
      </c>
      <c r="K32" s="330">
        <f t="shared" si="2"/>
        <v>-0.36214178991819346</v>
      </c>
      <c r="L32" s="334">
        <v>392</v>
      </c>
    </row>
    <row r="33" spans="1:18" s="332" customFormat="1" ht="15" customHeight="1" x14ac:dyDescent="0.2">
      <c r="A33" s="326"/>
      <c r="B33" s="350" t="s">
        <v>189</v>
      </c>
      <c r="C33" s="351">
        <v>7163000</v>
      </c>
      <c r="D33" s="217">
        <v>7163000</v>
      </c>
      <c r="E33" s="141">
        <v>1058369.8600000001</v>
      </c>
      <c r="F33" s="365">
        <f t="shared" si="0"/>
        <v>0.14775511098701663</v>
      </c>
      <c r="G33" s="141">
        <v>622459.44999999995</v>
      </c>
      <c r="H33" s="444">
        <f t="shared" si="3"/>
        <v>0.58813036304718647</v>
      </c>
      <c r="I33" s="141">
        <v>1119553.97</v>
      </c>
      <c r="J33" s="395">
        <v>0.17473918682690806</v>
      </c>
      <c r="K33" s="330">
        <f t="shared" si="2"/>
        <v>-5.465043369012379E-2</v>
      </c>
      <c r="L33" s="334">
        <v>393</v>
      </c>
      <c r="N33"/>
    </row>
    <row r="34" spans="1:18" s="332" customFormat="1" ht="15" customHeight="1" x14ac:dyDescent="0.2">
      <c r="A34" s="326"/>
      <c r="B34" s="352" t="s">
        <v>367</v>
      </c>
      <c r="C34" s="351">
        <v>10</v>
      </c>
      <c r="D34" s="217">
        <v>10</v>
      </c>
      <c r="E34" s="141">
        <v>0</v>
      </c>
      <c r="F34" s="353" t="s">
        <v>135</v>
      </c>
      <c r="G34" s="141">
        <v>0</v>
      </c>
      <c r="H34" s="354" t="s">
        <v>135</v>
      </c>
      <c r="I34" s="141">
        <v>0</v>
      </c>
      <c r="J34" s="395" t="s">
        <v>135</v>
      </c>
      <c r="K34" s="330" t="s">
        <v>135</v>
      </c>
      <c r="L34" s="334">
        <v>396</v>
      </c>
      <c r="N34" s="6"/>
    </row>
    <row r="35" spans="1:18" s="332" customFormat="1" ht="15" customHeight="1" x14ac:dyDescent="0.2">
      <c r="A35" s="355"/>
      <c r="B35" s="268" t="s">
        <v>424</v>
      </c>
      <c r="C35" s="351">
        <v>10</v>
      </c>
      <c r="D35" s="217">
        <v>10</v>
      </c>
      <c r="E35" s="141">
        <v>0</v>
      </c>
      <c r="F35" s="357" t="s">
        <v>135</v>
      </c>
      <c r="G35" s="141">
        <v>0</v>
      </c>
      <c r="H35" s="358" t="s">
        <v>135</v>
      </c>
      <c r="I35" s="356">
        <v>0</v>
      </c>
      <c r="J35" s="395" t="s">
        <v>135</v>
      </c>
      <c r="K35" s="330" t="s">
        <v>135</v>
      </c>
      <c r="L35" s="334">
        <v>397</v>
      </c>
      <c r="N35"/>
    </row>
    <row r="36" spans="1:18" s="332" customFormat="1" ht="15" customHeight="1" x14ac:dyDescent="0.2">
      <c r="A36" s="355"/>
      <c r="B36" s="289" t="s">
        <v>190</v>
      </c>
      <c r="C36" s="351">
        <v>11693727.279999999</v>
      </c>
      <c r="D36" s="217">
        <v>11693727.279999999</v>
      </c>
      <c r="E36" s="141">
        <v>470659.71</v>
      </c>
      <c r="F36" s="451">
        <f t="shared" si="0"/>
        <v>4.0248904282638616E-2</v>
      </c>
      <c r="G36" s="141">
        <v>88041.55</v>
      </c>
      <c r="H36" s="445">
        <f t="shared" si="3"/>
        <v>0.18705988239358751</v>
      </c>
      <c r="I36" s="359">
        <v>764822.63</v>
      </c>
      <c r="J36" s="490">
        <v>6.1706459889446404E-2</v>
      </c>
      <c r="K36" s="360">
        <f t="shared" si="2"/>
        <v>-0.38461586838768091</v>
      </c>
      <c r="L36" s="334">
        <v>399</v>
      </c>
      <c r="N36"/>
    </row>
    <row r="37" spans="1:18" ht="15" customHeight="1" thickBot="1" x14ac:dyDescent="0.25">
      <c r="A37" s="9"/>
      <c r="B37" s="2" t="s">
        <v>191</v>
      </c>
      <c r="C37" s="186">
        <f>SUM(C15:C36)</f>
        <v>260080061.92000002</v>
      </c>
      <c r="D37" s="189">
        <f>SUM(D15:D36)</f>
        <v>260080061.92000002</v>
      </c>
      <c r="E37" s="195">
        <f>SUM(E15:E36)</f>
        <v>39304570.730000004</v>
      </c>
      <c r="F37" s="452">
        <f>+E37/D37</f>
        <v>0.15112488992751005</v>
      </c>
      <c r="G37" s="195">
        <f>SUM(G15:G36)</f>
        <v>7440530</v>
      </c>
      <c r="H37" s="196">
        <f t="shared" si="3"/>
        <v>0.18930444632285134</v>
      </c>
      <c r="I37" s="171">
        <f>+SUM(I15:I36)</f>
        <v>36632912.909999996</v>
      </c>
      <c r="J37" s="44">
        <v>0.13600000000000001</v>
      </c>
      <c r="K37" s="208">
        <f t="shared" si="2"/>
        <v>7.2930531802473775E-2</v>
      </c>
    </row>
    <row r="38" spans="1:18" ht="15.75" thickBot="1" x14ac:dyDescent="0.3">
      <c r="A38" s="7" t="s">
        <v>234</v>
      </c>
    </row>
    <row r="39" spans="1:18" x14ac:dyDescent="0.2">
      <c r="A39" s="8" t="s">
        <v>296</v>
      </c>
      <c r="C39" s="183" t="s">
        <v>510</v>
      </c>
      <c r="D39" s="577" t="s">
        <v>552</v>
      </c>
      <c r="E39" s="575"/>
      <c r="F39" s="575"/>
      <c r="G39" s="575"/>
      <c r="H39" s="576"/>
      <c r="I39" s="573" t="s">
        <v>553</v>
      </c>
      <c r="J39" s="572"/>
      <c r="K39" s="228"/>
    </row>
    <row r="40" spans="1:18" x14ac:dyDescent="0.2">
      <c r="C40" s="176">
        <v>1</v>
      </c>
      <c r="D40" s="166">
        <v>2</v>
      </c>
      <c r="E40" s="95">
        <v>3</v>
      </c>
      <c r="F40" s="96" t="s">
        <v>39</v>
      </c>
      <c r="G40" s="95">
        <v>4</v>
      </c>
      <c r="H40" s="167" t="s">
        <v>49</v>
      </c>
      <c r="I40" s="95" t="s">
        <v>50</v>
      </c>
      <c r="J40" s="16" t="s">
        <v>51</v>
      </c>
      <c r="K40" s="157" t="s">
        <v>366</v>
      </c>
    </row>
    <row r="41" spans="1:18" ht="25.5" x14ac:dyDescent="0.2">
      <c r="A41" s="1"/>
      <c r="B41" s="2" t="s">
        <v>156</v>
      </c>
      <c r="C41" s="177" t="s">
        <v>47</v>
      </c>
      <c r="D41" s="127" t="s">
        <v>48</v>
      </c>
      <c r="E41" s="97" t="s">
        <v>139</v>
      </c>
      <c r="F41" s="97" t="s">
        <v>18</v>
      </c>
      <c r="G41" s="97" t="s">
        <v>422</v>
      </c>
      <c r="H41" s="128" t="s">
        <v>18</v>
      </c>
      <c r="I41" s="97" t="s">
        <v>139</v>
      </c>
      <c r="J41" s="12" t="s">
        <v>18</v>
      </c>
      <c r="K41" s="158" t="s">
        <v>550</v>
      </c>
      <c r="L41" s="62" t="s">
        <v>169</v>
      </c>
    </row>
    <row r="42" spans="1:18" s="332" customFormat="1" ht="15" customHeight="1" x14ac:dyDescent="0.2">
      <c r="A42" s="341"/>
      <c r="B42" s="341" t="s">
        <v>193</v>
      </c>
      <c r="C42" s="345">
        <v>6038467.5799999982</v>
      </c>
      <c r="D42" s="400">
        <v>6038467.5799999982</v>
      </c>
      <c r="E42" s="342">
        <v>683460.66000001505</v>
      </c>
      <c r="F42" s="411">
        <f t="shared" ref="F42:F58" si="5">+E42/D42</f>
        <v>0.11318445465596344</v>
      </c>
      <c r="G42" s="342">
        <v>334319.28000000026</v>
      </c>
      <c r="H42" s="369">
        <f>G42/E42</f>
        <v>0.48915658144829127</v>
      </c>
      <c r="I42" s="342">
        <v>-4.0163286030292511E-9</v>
      </c>
      <c r="J42" s="488" t="s">
        <v>135</v>
      </c>
      <c r="K42" s="343"/>
      <c r="L42" s="331" t="s">
        <v>194</v>
      </c>
      <c r="N42"/>
      <c r="O42"/>
      <c r="P42"/>
      <c r="Q42"/>
      <c r="R42"/>
    </row>
    <row r="43" spans="1:18" s="332" customFormat="1" ht="15" customHeight="1" x14ac:dyDescent="0.2">
      <c r="A43" s="341"/>
      <c r="B43" s="341" t="s">
        <v>195</v>
      </c>
      <c r="C43" s="345">
        <v>170</v>
      </c>
      <c r="D43" s="400">
        <v>170</v>
      </c>
      <c r="E43" s="342">
        <v>0</v>
      </c>
      <c r="F43" s="411" t="s">
        <v>135</v>
      </c>
      <c r="G43" s="342">
        <v>0</v>
      </c>
      <c r="H43" s="370" t="s">
        <v>135</v>
      </c>
      <c r="I43" s="342">
        <v>35455</v>
      </c>
      <c r="J43" s="488">
        <v>3.4896653543307088</v>
      </c>
      <c r="K43" s="343"/>
      <c r="L43" s="331" t="s">
        <v>207</v>
      </c>
      <c r="N43"/>
      <c r="O43"/>
      <c r="P43"/>
      <c r="Q43"/>
      <c r="R43"/>
    </row>
    <row r="44" spans="1:18" s="332" customFormat="1" ht="15" customHeight="1" x14ac:dyDescent="0.2">
      <c r="A44" s="326"/>
      <c r="B44" s="326" t="s">
        <v>196</v>
      </c>
      <c r="C44" s="351">
        <v>3390000</v>
      </c>
      <c r="D44" s="329">
        <v>3390000</v>
      </c>
      <c r="E44" s="329">
        <v>0</v>
      </c>
      <c r="F44" s="450" t="s">
        <v>135</v>
      </c>
      <c r="G44" s="329">
        <v>0</v>
      </c>
      <c r="H44" s="363" t="s">
        <v>135</v>
      </c>
      <c r="I44" s="329">
        <v>0</v>
      </c>
      <c r="J44" s="395" t="s">
        <v>135</v>
      </c>
      <c r="K44" s="543"/>
      <c r="L44" s="334">
        <v>45010</v>
      </c>
      <c r="M44" s="382"/>
      <c r="N44"/>
      <c r="O44"/>
      <c r="P44"/>
      <c r="Q44"/>
      <c r="R44"/>
    </row>
    <row r="45" spans="1:18" s="332" customFormat="1" ht="15" customHeight="1" x14ac:dyDescent="0.2">
      <c r="A45" s="326"/>
      <c r="B45" s="326" t="s">
        <v>197</v>
      </c>
      <c r="C45" s="351">
        <v>1214040</v>
      </c>
      <c r="D45" s="329">
        <v>1214040</v>
      </c>
      <c r="E45" s="329">
        <v>0</v>
      </c>
      <c r="F45" s="450" t="s">
        <v>135</v>
      </c>
      <c r="G45" s="329">
        <v>0</v>
      </c>
      <c r="H45" s="363" t="s">
        <v>135</v>
      </c>
      <c r="I45" s="329">
        <v>0</v>
      </c>
      <c r="J45" s="395" t="s">
        <v>135</v>
      </c>
      <c r="K45" s="330"/>
      <c r="L45" s="334">
        <v>45030</v>
      </c>
      <c r="M45" s="382"/>
      <c r="N45"/>
      <c r="O45"/>
      <c r="P45"/>
      <c r="Q45"/>
      <c r="R45"/>
    </row>
    <row r="46" spans="1:18" s="332" customFormat="1" ht="15" customHeight="1" x14ac:dyDescent="0.2">
      <c r="A46" s="326"/>
      <c r="B46" s="350" t="s">
        <v>198</v>
      </c>
      <c r="C46" s="351">
        <v>2404294</v>
      </c>
      <c r="D46" s="329">
        <v>2404294</v>
      </c>
      <c r="E46" s="141">
        <v>0</v>
      </c>
      <c r="F46" s="365" t="s">
        <v>135</v>
      </c>
      <c r="G46" s="141">
        <v>0</v>
      </c>
      <c r="H46" s="363" t="s">
        <v>135</v>
      </c>
      <c r="I46" s="141">
        <v>0</v>
      </c>
      <c r="J46" s="384" t="s">
        <v>135</v>
      </c>
      <c r="K46" s="338"/>
      <c r="L46" s="362">
        <v>45043</v>
      </c>
      <c r="M46" s="359"/>
      <c r="N46"/>
      <c r="O46"/>
      <c r="P46"/>
      <c r="Q46"/>
      <c r="R46"/>
    </row>
    <row r="47" spans="1:18" s="332" customFormat="1" ht="15" customHeight="1" x14ac:dyDescent="0.2">
      <c r="A47" s="326"/>
      <c r="B47" s="350" t="s">
        <v>199</v>
      </c>
      <c r="C47" s="351">
        <v>44997477</v>
      </c>
      <c r="D47" s="329">
        <v>44997477</v>
      </c>
      <c r="E47" s="141">
        <v>5879163.8899999997</v>
      </c>
      <c r="F47" s="365">
        <f t="shared" si="5"/>
        <v>0.13065541185786927</v>
      </c>
      <c r="G47" s="141">
        <v>308714.21000000002</v>
      </c>
      <c r="H47" s="363">
        <f t="shared" si="3"/>
        <v>5.2509883339891046E-2</v>
      </c>
      <c r="I47" s="141">
        <v>264219.81</v>
      </c>
      <c r="J47" s="384">
        <v>6.0053398437500769E-3</v>
      </c>
      <c r="K47" s="559">
        <f t="shared" si="2"/>
        <v>21.251033675332671</v>
      </c>
      <c r="L47" s="364" t="s">
        <v>445</v>
      </c>
      <c r="M47" s="359"/>
      <c r="N47"/>
      <c r="O47"/>
      <c r="P47"/>
      <c r="Q47"/>
      <c r="R47"/>
    </row>
    <row r="48" spans="1:18" s="332" customFormat="1" ht="15" customHeight="1" x14ac:dyDescent="0.2">
      <c r="A48" s="326"/>
      <c r="B48" s="350" t="s">
        <v>426</v>
      </c>
      <c r="C48" s="351"/>
      <c r="D48" s="329"/>
      <c r="E48" s="141"/>
      <c r="F48" s="365" t="s">
        <v>154</v>
      </c>
      <c r="G48" s="141"/>
      <c r="H48" s="363"/>
      <c r="I48" s="141"/>
      <c r="J48" s="384"/>
      <c r="K48" s="360"/>
      <c r="L48" s="366">
        <v>45050</v>
      </c>
      <c r="M48" s="359"/>
      <c r="N48"/>
      <c r="O48"/>
      <c r="P48"/>
      <c r="Q48"/>
      <c r="R48"/>
    </row>
    <row r="49" spans="1:18" s="332" customFormat="1" ht="15" customHeight="1" x14ac:dyDescent="0.2">
      <c r="A49" s="326"/>
      <c r="B49" s="350" t="s">
        <v>208</v>
      </c>
      <c r="C49" s="351">
        <v>20</v>
      </c>
      <c r="D49" s="329">
        <v>20</v>
      </c>
      <c r="E49" s="141">
        <v>0</v>
      </c>
      <c r="F49" s="365" t="s">
        <v>135</v>
      </c>
      <c r="G49" s="141">
        <v>0</v>
      </c>
      <c r="H49" s="363" t="s">
        <v>135</v>
      </c>
      <c r="I49" s="141">
        <v>6877631.46</v>
      </c>
      <c r="J49" s="384" t="s">
        <v>135</v>
      </c>
      <c r="K49" s="361"/>
      <c r="L49" s="366">
        <v>45051</v>
      </c>
      <c r="M49" s="359"/>
      <c r="N49"/>
      <c r="O49"/>
      <c r="P49"/>
      <c r="Q49"/>
      <c r="R49"/>
    </row>
    <row r="50" spans="1:18" s="332" customFormat="1" ht="15" customHeight="1" x14ac:dyDescent="0.2">
      <c r="A50" s="326"/>
      <c r="B50" s="350" t="s">
        <v>200</v>
      </c>
      <c r="C50" s="351">
        <v>550701.15</v>
      </c>
      <c r="D50" s="329">
        <v>550701.15</v>
      </c>
      <c r="E50" s="141">
        <v>0</v>
      </c>
      <c r="F50" s="365" t="s">
        <v>135</v>
      </c>
      <c r="G50" s="141">
        <v>0</v>
      </c>
      <c r="H50" s="363" t="s">
        <v>135</v>
      </c>
      <c r="I50" s="141">
        <v>0</v>
      </c>
      <c r="J50" s="384" t="s">
        <v>135</v>
      </c>
      <c r="K50" s="361"/>
      <c r="L50" s="362">
        <v>45070</v>
      </c>
      <c r="M50" s="359"/>
      <c r="N50"/>
      <c r="O50"/>
      <c r="P50"/>
      <c r="Q50"/>
      <c r="R50"/>
    </row>
    <row r="51" spans="1:18" s="332" customFormat="1" ht="15" customHeight="1" x14ac:dyDescent="0.2">
      <c r="A51" s="367"/>
      <c r="B51" s="486" t="s">
        <v>201</v>
      </c>
      <c r="C51" s="351">
        <v>386495</v>
      </c>
      <c r="D51" s="141">
        <v>1567602.18</v>
      </c>
      <c r="E51" s="368">
        <v>2521932.7399999998</v>
      </c>
      <c r="F51" s="453">
        <f t="shared" si="5"/>
        <v>1.6087836392266308</v>
      </c>
      <c r="G51" s="141">
        <v>2521932.7399999998</v>
      </c>
      <c r="H51" s="447">
        <f>G51/E51</f>
        <v>1</v>
      </c>
      <c r="I51" s="368">
        <v>0</v>
      </c>
      <c r="J51" s="384" t="s">
        <v>135</v>
      </c>
      <c r="K51" s="361"/>
      <c r="L51" s="366" t="s">
        <v>209</v>
      </c>
      <c r="M51" s="399"/>
      <c r="N51"/>
      <c r="O51"/>
      <c r="P51"/>
      <c r="Q51"/>
      <c r="R51"/>
    </row>
    <row r="52" spans="1:18" s="332" customFormat="1" ht="15" customHeight="1" x14ac:dyDescent="0.2">
      <c r="A52" s="344"/>
      <c r="B52" s="344" t="s">
        <v>202</v>
      </c>
      <c r="C52" s="345">
        <v>70</v>
      </c>
      <c r="D52" s="346">
        <v>70</v>
      </c>
      <c r="E52" s="141">
        <v>0</v>
      </c>
      <c r="F52" s="432" t="s">
        <v>135</v>
      </c>
      <c r="G52" s="347">
        <v>0</v>
      </c>
      <c r="H52" s="363" t="s">
        <v>135</v>
      </c>
      <c r="I52" s="347">
        <v>100000</v>
      </c>
      <c r="J52" s="489" t="s">
        <v>135</v>
      </c>
      <c r="K52" s="361"/>
      <c r="L52" s="334">
        <v>461</v>
      </c>
      <c r="M52" s="399"/>
      <c r="N52"/>
      <c r="O52"/>
      <c r="P52"/>
      <c r="Q52"/>
      <c r="R52"/>
    </row>
    <row r="53" spans="1:18" s="332" customFormat="1" ht="15" customHeight="1" x14ac:dyDescent="0.2">
      <c r="A53" s="355"/>
      <c r="B53" s="371" t="s">
        <v>417</v>
      </c>
      <c r="C53" s="372">
        <v>10</v>
      </c>
      <c r="D53" s="373">
        <v>10</v>
      </c>
      <c r="E53" s="374">
        <v>0</v>
      </c>
      <c r="F53" s="454" t="s">
        <v>135</v>
      </c>
      <c r="G53" s="374">
        <v>0</v>
      </c>
      <c r="H53" s="375" t="s">
        <v>135</v>
      </c>
      <c r="I53" s="374">
        <v>0</v>
      </c>
      <c r="J53" s="396" t="s">
        <v>135</v>
      </c>
      <c r="K53" s="376" t="s">
        <v>135</v>
      </c>
      <c r="L53" s="334">
        <v>462</v>
      </c>
      <c r="N53"/>
      <c r="O53"/>
      <c r="P53"/>
      <c r="Q53"/>
      <c r="R53"/>
    </row>
    <row r="54" spans="1:18" s="332" customFormat="1" ht="15" customHeight="1" x14ac:dyDescent="0.2">
      <c r="A54" s="326"/>
      <c r="B54" s="326" t="s">
        <v>427</v>
      </c>
      <c r="C54" s="327"/>
      <c r="D54" s="328"/>
      <c r="E54" s="329"/>
      <c r="F54" s="450"/>
      <c r="G54" s="329"/>
      <c r="H54" s="377"/>
      <c r="I54" s="329">
        <v>0</v>
      </c>
      <c r="J54" s="395" t="s">
        <v>135</v>
      </c>
      <c r="K54" s="376" t="s">
        <v>135</v>
      </c>
      <c r="L54" s="334">
        <v>46403</v>
      </c>
      <c r="N54"/>
      <c r="O54"/>
      <c r="P54"/>
      <c r="Q54"/>
      <c r="R54"/>
    </row>
    <row r="55" spans="1:18" s="332" customFormat="1" ht="15" customHeight="1" x14ac:dyDescent="0.2">
      <c r="A55" s="326"/>
      <c r="B55" s="326" t="s">
        <v>205</v>
      </c>
      <c r="C55" s="351">
        <v>56078421</v>
      </c>
      <c r="D55" s="141">
        <v>56078421</v>
      </c>
      <c r="E55" s="329">
        <v>9961918.0500000007</v>
      </c>
      <c r="F55" s="450">
        <f t="shared" si="5"/>
        <v>0.17764262745557691</v>
      </c>
      <c r="G55" s="329">
        <v>4376500.83</v>
      </c>
      <c r="H55" s="424">
        <f>+G55/E55</f>
        <v>0.43932311107498018</v>
      </c>
      <c r="I55" s="329">
        <v>7988879.4299999997</v>
      </c>
      <c r="J55" s="395">
        <v>0.14245906513665924</v>
      </c>
      <c r="K55" s="330">
        <f t="shared" si="2"/>
        <v>0.24697313775832019</v>
      </c>
      <c r="L55" s="334">
        <v>46401</v>
      </c>
      <c r="N55"/>
      <c r="O55"/>
      <c r="P55"/>
      <c r="Q55"/>
      <c r="R55"/>
    </row>
    <row r="56" spans="1:18" s="332" customFormat="1" ht="15" customHeight="1" x14ac:dyDescent="0.2">
      <c r="A56" s="367"/>
      <c r="B56" s="367" t="s">
        <v>206</v>
      </c>
      <c r="C56" s="351">
        <v>448000</v>
      </c>
      <c r="D56" s="141">
        <v>448000</v>
      </c>
      <c r="E56" s="380">
        <v>0</v>
      </c>
      <c r="F56" s="455" t="s">
        <v>135</v>
      </c>
      <c r="G56" s="380">
        <v>0</v>
      </c>
      <c r="H56" s="424" t="s">
        <v>135</v>
      </c>
      <c r="I56" s="380">
        <v>6293.11</v>
      </c>
      <c r="J56" s="491">
        <v>4.1954066666666668E-3</v>
      </c>
      <c r="K56" s="330">
        <f>E56/I56-1</f>
        <v>-1</v>
      </c>
      <c r="L56" s="334">
        <v>46402</v>
      </c>
      <c r="N56"/>
    </row>
    <row r="57" spans="1:18" s="332" customFormat="1" ht="15" customHeight="1" x14ac:dyDescent="0.2">
      <c r="A57" s="344"/>
      <c r="B57" s="344" t="s">
        <v>203</v>
      </c>
      <c r="C57" s="345">
        <v>590384</v>
      </c>
      <c r="D57" s="346">
        <v>614484</v>
      </c>
      <c r="E57" s="347">
        <v>9640</v>
      </c>
      <c r="F57" s="432">
        <f t="shared" si="5"/>
        <v>1.5687959328477226E-2</v>
      </c>
      <c r="G57" s="347">
        <v>9640</v>
      </c>
      <c r="H57" s="425">
        <f>+G57/E57</f>
        <v>1</v>
      </c>
      <c r="I57" s="347">
        <v>0</v>
      </c>
      <c r="J57" s="489" t="s">
        <v>135</v>
      </c>
      <c r="K57" s="381"/>
      <c r="L57" s="334">
        <v>49</v>
      </c>
      <c r="N57"/>
    </row>
    <row r="58" spans="1:18" s="332" customFormat="1" ht="15" customHeight="1" x14ac:dyDescent="0.2">
      <c r="A58" s="355"/>
      <c r="B58" s="355" t="s">
        <v>204</v>
      </c>
      <c r="C58" s="475">
        <v>110048.3</v>
      </c>
      <c r="D58" s="475">
        <v>116038.3</v>
      </c>
      <c r="E58" s="382">
        <v>18730.46</v>
      </c>
      <c r="F58" s="456">
        <f t="shared" si="5"/>
        <v>0.16141618758634002</v>
      </c>
      <c r="G58" s="382">
        <v>1500</v>
      </c>
      <c r="H58" s="426">
        <f>G58/E58</f>
        <v>8.0083457640655914E-2</v>
      </c>
      <c r="I58" s="382">
        <v>3090.52</v>
      </c>
      <c r="J58" s="490">
        <v>2.5218853020857135E-2</v>
      </c>
      <c r="K58" s="360"/>
      <c r="L58" s="334" t="s">
        <v>478</v>
      </c>
      <c r="N58"/>
    </row>
    <row r="59" spans="1:18" ht="15" customHeight="1" x14ac:dyDescent="0.2">
      <c r="A59" s="9"/>
      <c r="B59" s="2" t="s">
        <v>210</v>
      </c>
      <c r="C59" s="181">
        <f>SUM(C42:C58)</f>
        <v>116208598.02999999</v>
      </c>
      <c r="D59" s="171">
        <f>SUM(D42:D58)</f>
        <v>117419795.20999999</v>
      </c>
      <c r="E59" s="92">
        <f>SUM(E42:E58)</f>
        <v>19074845.800000016</v>
      </c>
      <c r="F59" s="98">
        <f t="shared" si="0"/>
        <v>0.16245000058027284</v>
      </c>
      <c r="G59" s="92">
        <f>SUM(G42:G58)</f>
        <v>7552607.0600000005</v>
      </c>
      <c r="H59" s="190">
        <f t="shared" si="3"/>
        <v>0.39594590379336092</v>
      </c>
      <c r="I59" s="92">
        <f>SUM(I42:I58)</f>
        <v>15275569.329999994</v>
      </c>
      <c r="J59" s="44">
        <v>0.122</v>
      </c>
      <c r="K59" s="162">
        <f t="shared" si="2"/>
        <v>0.24871586701115911</v>
      </c>
      <c r="O59" s="332"/>
    </row>
    <row r="60" spans="1:18" s="332" customFormat="1" ht="15" customHeight="1" x14ac:dyDescent="0.2">
      <c r="A60" s="326"/>
      <c r="B60" s="326" t="s">
        <v>212</v>
      </c>
      <c r="C60" s="327">
        <v>3700000</v>
      </c>
      <c r="D60" s="328">
        <v>3700000</v>
      </c>
      <c r="E60" s="329">
        <v>1135165.8599999999</v>
      </c>
      <c r="F60" s="450">
        <f t="shared" ref="F60:F64" si="6">+E60/D60</f>
        <v>0.30680158378378375</v>
      </c>
      <c r="G60" s="329">
        <v>1135165.8599999999</v>
      </c>
      <c r="H60" s="424">
        <f t="shared" ref="H60:H64" si="7">+G60/E60</f>
        <v>1</v>
      </c>
      <c r="I60" s="329">
        <v>1401547.71</v>
      </c>
      <c r="J60" s="395">
        <v>0.64946302843823711</v>
      </c>
      <c r="K60" s="330">
        <f t="shared" si="2"/>
        <v>-0.19006263440008053</v>
      </c>
      <c r="L60" s="334" t="s">
        <v>213</v>
      </c>
      <c r="N60"/>
    </row>
    <row r="61" spans="1:18" s="332" customFormat="1" ht="15" customHeight="1" x14ac:dyDescent="0.2">
      <c r="A61" s="326"/>
      <c r="B61" s="326" t="s">
        <v>214</v>
      </c>
      <c r="C61" s="327">
        <v>2021540</v>
      </c>
      <c r="D61" s="328">
        <v>2021540</v>
      </c>
      <c r="E61" s="329">
        <v>353580.71</v>
      </c>
      <c r="F61" s="450">
        <f t="shared" si="6"/>
        <v>0.17490661080166606</v>
      </c>
      <c r="G61" s="329">
        <v>42286.43</v>
      </c>
      <c r="H61" s="424">
        <f t="shared" si="7"/>
        <v>0.11959484441331654</v>
      </c>
      <c r="I61" s="329">
        <v>382813.25</v>
      </c>
      <c r="J61" s="395">
        <v>0.17044071290549506</v>
      </c>
      <c r="K61" s="330">
        <f t="shared" si="2"/>
        <v>-7.6362403861412798E-2</v>
      </c>
      <c r="L61" s="334">
        <v>54</v>
      </c>
      <c r="N61"/>
    </row>
    <row r="62" spans="1:18" s="332" customFormat="1" ht="15" customHeight="1" x14ac:dyDescent="0.2">
      <c r="A62" s="326"/>
      <c r="B62" s="326" t="s">
        <v>215</v>
      </c>
      <c r="C62" s="327">
        <v>3056000</v>
      </c>
      <c r="D62" s="328">
        <v>3056000</v>
      </c>
      <c r="E62" s="329">
        <v>123510.66</v>
      </c>
      <c r="F62" s="450">
        <f t="shared" si="6"/>
        <v>4.0415791884816754E-2</v>
      </c>
      <c r="G62" s="329">
        <v>66416.759999999995</v>
      </c>
      <c r="H62" s="424">
        <f>+G62/E62</f>
        <v>0.53774111481551468</v>
      </c>
      <c r="I62" s="329">
        <v>66126.59</v>
      </c>
      <c r="J62" s="395">
        <v>1.724741523213354E-2</v>
      </c>
      <c r="K62" s="330">
        <f t="shared" si="2"/>
        <v>0.86779115632607118</v>
      </c>
      <c r="L62" s="334">
        <v>55000</v>
      </c>
      <c r="N62"/>
    </row>
    <row r="63" spans="1:18" s="332" customFormat="1" ht="15" customHeight="1" x14ac:dyDescent="0.2">
      <c r="A63" s="326"/>
      <c r="B63" s="326" t="s">
        <v>216</v>
      </c>
      <c r="C63" s="327">
        <v>30692029</v>
      </c>
      <c r="D63" s="328">
        <v>30692029</v>
      </c>
      <c r="E63" s="329">
        <v>1700524.34</v>
      </c>
      <c r="F63" s="450">
        <f t="shared" si="6"/>
        <v>5.540605803545931E-2</v>
      </c>
      <c r="G63" s="329">
        <v>391451.70999999996</v>
      </c>
      <c r="H63" s="424">
        <f t="shared" si="7"/>
        <v>0.23019471159113192</v>
      </c>
      <c r="I63" s="329">
        <v>1677527.64</v>
      </c>
      <c r="J63" s="395">
        <v>8.2895348706201577E-2</v>
      </c>
      <c r="K63" s="330">
        <f t="shared" si="2"/>
        <v>1.3708686194881636E-2</v>
      </c>
      <c r="L63" s="334" t="s">
        <v>425</v>
      </c>
      <c r="N63"/>
    </row>
    <row r="64" spans="1:18" s="332" customFormat="1" ht="15" customHeight="1" x14ac:dyDescent="0.2">
      <c r="A64" s="326"/>
      <c r="B64" s="326" t="s">
        <v>217</v>
      </c>
      <c r="C64" s="327">
        <v>2666040</v>
      </c>
      <c r="D64" s="328">
        <v>2666040</v>
      </c>
      <c r="E64" s="329">
        <v>392000.14</v>
      </c>
      <c r="F64" s="450">
        <f t="shared" si="6"/>
        <v>0.1470346056323236</v>
      </c>
      <c r="G64" s="329">
        <v>224930.94</v>
      </c>
      <c r="H64" s="424">
        <f t="shared" si="7"/>
        <v>0.57380321343762786</v>
      </c>
      <c r="I64" s="329">
        <v>354105.05</v>
      </c>
      <c r="J64" s="395">
        <v>0.13423137428829196</v>
      </c>
      <c r="K64" s="330">
        <f t="shared" si="2"/>
        <v>0.10701651953283364</v>
      </c>
      <c r="L64" s="334" t="s">
        <v>218</v>
      </c>
      <c r="N64"/>
    </row>
    <row r="65" spans="1:12" s="332" customFormat="1" ht="15" customHeight="1" x14ac:dyDescent="0.2">
      <c r="A65" s="326"/>
      <c r="B65" s="326" t="s">
        <v>219</v>
      </c>
      <c r="C65" s="327">
        <v>20</v>
      </c>
      <c r="D65" s="328">
        <v>20</v>
      </c>
      <c r="E65" s="329">
        <v>0</v>
      </c>
      <c r="F65" s="450" t="s">
        <v>135</v>
      </c>
      <c r="G65" s="329">
        <v>0</v>
      </c>
      <c r="H65" s="424" t="s">
        <v>135</v>
      </c>
      <c r="I65" s="329">
        <v>0</v>
      </c>
      <c r="J65" s="395" t="s">
        <v>135</v>
      </c>
      <c r="K65" s="330" t="s">
        <v>135</v>
      </c>
      <c r="L65" s="331" t="s">
        <v>220</v>
      </c>
    </row>
    <row r="66" spans="1:12" ht="15" customHeight="1" thickBot="1" x14ac:dyDescent="0.25">
      <c r="A66" s="9"/>
      <c r="B66" s="2" t="s">
        <v>45</v>
      </c>
      <c r="C66" s="181">
        <f>SUM(C60:C65)</f>
        <v>42135629</v>
      </c>
      <c r="D66" s="171">
        <f>SUM(D60:D65)</f>
        <v>42135629</v>
      </c>
      <c r="E66" s="92">
        <f>SUM(E60:E65)</f>
        <v>3704781.71</v>
      </c>
      <c r="F66" s="98">
        <f t="shared" si="0"/>
        <v>8.7925154979886497E-2</v>
      </c>
      <c r="G66" s="92">
        <f>SUM(G60:G65)</f>
        <v>1860251.6999999997</v>
      </c>
      <c r="H66" s="190">
        <f t="shared" si="3"/>
        <v>0.50212181057220773</v>
      </c>
      <c r="I66" s="92">
        <f>SUM(I60:I65)</f>
        <v>3882120.2399999998</v>
      </c>
      <c r="J66" s="44">
        <v>0.125</v>
      </c>
      <c r="K66" s="162">
        <f>+E66/I66-1</f>
        <v>-4.5680844238868756E-2</v>
      </c>
    </row>
    <row r="67" spans="1:12" s="6" customFormat="1" ht="19.5" customHeight="1" thickBot="1" x14ac:dyDescent="0.25">
      <c r="A67" s="5"/>
      <c r="B67" s="4" t="s">
        <v>211</v>
      </c>
      <c r="C67" s="182">
        <f>+C11+C14+C37+C59+C66</f>
        <v>2354409500.5</v>
      </c>
      <c r="D67" s="173">
        <f>+D11+D14+D37+D59+D66</f>
        <v>2355620697.6799998</v>
      </c>
      <c r="E67" s="174">
        <f>+E11+E14+E37+E59+E66</f>
        <v>510329635.81999999</v>
      </c>
      <c r="F67" s="202">
        <f t="shared" si="0"/>
        <v>0.21664338249473383</v>
      </c>
      <c r="G67" s="174">
        <f>+G11+G14+G37+G59+G66</f>
        <v>271841501</v>
      </c>
      <c r="H67" s="194">
        <f t="shared" si="3"/>
        <v>0.53267825718803075</v>
      </c>
      <c r="I67" s="165">
        <f>I11+I14+I37+I59+I66</f>
        <v>473225243.74999994</v>
      </c>
      <c r="J67" s="211">
        <v>0.20499999999999999</v>
      </c>
      <c r="K67" s="164">
        <f t="shared" si="2"/>
        <v>7.8407465704855683E-2</v>
      </c>
      <c r="L67" s="14"/>
    </row>
    <row r="68" spans="1:12" x14ac:dyDescent="0.2">
      <c r="D68" s="47"/>
      <c r="F68" s="457"/>
    </row>
    <row r="70" spans="1:12" x14ac:dyDescent="0.2">
      <c r="C70" s="47"/>
    </row>
    <row r="72" spans="1:12" x14ac:dyDescent="0.2">
      <c r="E72" s="47"/>
    </row>
    <row r="73" spans="1:12" x14ac:dyDescent="0.2">
      <c r="E73" s="47"/>
    </row>
    <row r="74" spans="1:12" x14ac:dyDescent="0.2">
      <c r="E74" s="298"/>
    </row>
    <row r="75" spans="1:12" x14ac:dyDescent="0.2">
      <c r="E75" s="47"/>
    </row>
    <row r="76" spans="1:12" x14ac:dyDescent="0.2">
      <c r="E76" s="47"/>
    </row>
    <row r="79" spans="1:12" x14ac:dyDescent="0.2">
      <c r="C79" s="298"/>
      <c r="E79" s="47"/>
    </row>
    <row r="80" spans="1:12" x14ac:dyDescent="0.2">
      <c r="E80" s="47"/>
    </row>
    <row r="81" spans="5:5" x14ac:dyDescent="0.2">
      <c r="E81" s="47"/>
    </row>
    <row r="82" spans="5:5" x14ac:dyDescent="0.2">
      <c r="E82" s="298"/>
    </row>
  </sheetData>
  <mergeCells count="4">
    <mergeCell ref="I2:J2"/>
    <mergeCell ref="I39:J39"/>
    <mergeCell ref="D2:H2"/>
    <mergeCell ref="D39:H39"/>
  </mergeCells>
  <printOptions horizontalCentered="1"/>
  <pageMargins left="0.51181102362204722" right="0.51181102362204722" top="0.6692913385826772" bottom="0.74803149606299213" header="0.31496062992125984" footer="0.59055118110236227"/>
  <pageSetup paperSize="9" scale="85" fitToHeight="2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  <rowBreaks count="1" manualBreakCount="1"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</sheetPr>
  <dimension ref="A1:Q36"/>
  <sheetViews>
    <sheetView tabSelected="1" topLeftCell="A3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1" spans="1:13" ht="15.75" thickBot="1" x14ac:dyDescent="0.3">
      <c r="A1" s="7" t="s">
        <v>235</v>
      </c>
    </row>
    <row r="2" spans="1:13" x14ac:dyDescent="0.2">
      <c r="A2" s="8" t="s">
        <v>155</v>
      </c>
      <c r="C2" s="183" t="s">
        <v>510</v>
      </c>
      <c r="D2" s="577" t="s">
        <v>552</v>
      </c>
      <c r="E2" s="575"/>
      <c r="F2" s="575"/>
      <c r="G2" s="575"/>
      <c r="H2" s="576"/>
      <c r="I2" s="571" t="s">
        <v>553</v>
      </c>
      <c r="J2" s="572"/>
      <c r="K2" s="228"/>
    </row>
    <row r="3" spans="1:13" x14ac:dyDescent="0.2">
      <c r="C3" s="176">
        <v>1</v>
      </c>
      <c r="D3" s="166">
        <v>2</v>
      </c>
      <c r="E3" s="95">
        <v>3</v>
      </c>
      <c r="F3" s="96" t="s">
        <v>39</v>
      </c>
      <c r="G3" s="95">
        <v>4</v>
      </c>
      <c r="H3" s="167" t="s">
        <v>49</v>
      </c>
      <c r="I3" s="95" t="s">
        <v>50</v>
      </c>
      <c r="J3" s="16" t="s">
        <v>51</v>
      </c>
      <c r="K3" s="157" t="s">
        <v>366</v>
      </c>
    </row>
    <row r="4" spans="1:13" ht="25.5" x14ac:dyDescent="0.2">
      <c r="A4" s="1"/>
      <c r="B4" s="2" t="s">
        <v>156</v>
      </c>
      <c r="C4" s="177" t="s">
        <v>47</v>
      </c>
      <c r="D4" s="127" t="s">
        <v>48</v>
      </c>
      <c r="E4" s="97" t="s">
        <v>139</v>
      </c>
      <c r="F4" s="97" t="s">
        <v>18</v>
      </c>
      <c r="G4" s="97" t="s">
        <v>422</v>
      </c>
      <c r="H4" s="128" t="s">
        <v>18</v>
      </c>
      <c r="I4" s="97" t="s">
        <v>139</v>
      </c>
      <c r="J4" s="12" t="s">
        <v>18</v>
      </c>
      <c r="K4" s="158" t="s">
        <v>550</v>
      </c>
      <c r="L4" s="62" t="s">
        <v>169</v>
      </c>
    </row>
    <row r="5" spans="1:13" ht="15" customHeight="1" x14ac:dyDescent="0.2">
      <c r="A5" s="21"/>
      <c r="B5" s="21" t="s">
        <v>221</v>
      </c>
      <c r="C5" s="179">
        <v>500020</v>
      </c>
      <c r="D5" s="169">
        <v>500020</v>
      </c>
      <c r="E5" s="154">
        <v>0</v>
      </c>
      <c r="F5" s="325" t="s">
        <v>135</v>
      </c>
      <c r="G5" s="154">
        <v>0</v>
      </c>
      <c r="H5" s="172" t="s">
        <v>135</v>
      </c>
      <c r="I5" s="31">
        <v>0</v>
      </c>
      <c r="J5" s="53" t="s">
        <v>135</v>
      </c>
      <c r="K5" s="159"/>
      <c r="L5" s="63">
        <v>60</v>
      </c>
    </row>
    <row r="6" spans="1:13" ht="15" customHeight="1" x14ac:dyDescent="0.2">
      <c r="A6" s="23"/>
      <c r="B6" s="23" t="s">
        <v>222</v>
      </c>
      <c r="C6" s="179">
        <v>10</v>
      </c>
      <c r="D6" s="169">
        <v>10</v>
      </c>
      <c r="E6" s="151">
        <v>47040</v>
      </c>
      <c r="F6" s="325" t="s">
        <v>135</v>
      </c>
      <c r="G6" s="151">
        <v>47040</v>
      </c>
      <c r="H6" s="172">
        <f>+G6/E6</f>
        <v>1</v>
      </c>
      <c r="I6" s="33">
        <v>0</v>
      </c>
      <c r="J6" s="53" t="s">
        <v>135</v>
      </c>
      <c r="K6" s="159"/>
      <c r="L6" s="64">
        <v>61901</v>
      </c>
    </row>
    <row r="7" spans="1:13" ht="15" customHeight="1" x14ac:dyDescent="0.2">
      <c r="A7" s="23"/>
      <c r="B7" s="23" t="s">
        <v>223</v>
      </c>
      <c r="C7" s="179">
        <v>50</v>
      </c>
      <c r="D7" s="169">
        <v>50</v>
      </c>
      <c r="E7" s="151">
        <v>0</v>
      </c>
      <c r="F7" s="325" t="s">
        <v>135</v>
      </c>
      <c r="G7" s="151">
        <v>0</v>
      </c>
      <c r="H7" s="199" t="s">
        <v>135</v>
      </c>
      <c r="I7" s="33">
        <v>0</v>
      </c>
      <c r="J7" s="53" t="s">
        <v>135</v>
      </c>
      <c r="K7" s="159"/>
      <c r="L7" s="64" t="s">
        <v>231</v>
      </c>
    </row>
    <row r="8" spans="1:13" ht="15" customHeight="1" x14ac:dyDescent="0.2">
      <c r="A8" s="9"/>
      <c r="B8" s="2" t="s">
        <v>224</v>
      </c>
      <c r="C8" s="181">
        <f>SUM(C5:C7)</f>
        <v>500080</v>
      </c>
      <c r="D8" s="171">
        <f>SUM(D5:D7)</f>
        <v>500080</v>
      </c>
      <c r="E8" s="92">
        <f>SUM(E5:E7)</f>
        <v>47040</v>
      </c>
      <c r="F8" s="98">
        <f t="shared" ref="F8" si="0">+E8/D8</f>
        <v>9.4064949608062706E-2</v>
      </c>
      <c r="G8" s="92">
        <f>SUM(G5:G7)</f>
        <v>47040</v>
      </c>
      <c r="H8" s="439"/>
      <c r="I8" s="92">
        <f>SUM(I5:I7)</f>
        <v>0</v>
      </c>
      <c r="J8" s="44">
        <v>0</v>
      </c>
      <c r="K8" s="162"/>
      <c r="M8" s="401"/>
    </row>
    <row r="9" spans="1:13" ht="15" customHeight="1" x14ac:dyDescent="0.2">
      <c r="A9" s="21"/>
      <c r="B9" s="21" t="s">
        <v>225</v>
      </c>
      <c r="C9" s="178"/>
      <c r="D9" s="168"/>
      <c r="E9" s="104"/>
      <c r="F9" s="49"/>
      <c r="G9" s="104"/>
      <c r="H9" s="172"/>
      <c r="I9" s="154">
        <v>37335.599999999999</v>
      </c>
      <c r="J9" s="53">
        <v>3.1453748946925021E-2</v>
      </c>
      <c r="K9" s="159"/>
      <c r="L9" s="63">
        <v>72</v>
      </c>
    </row>
    <row r="10" spans="1:13" ht="15" customHeight="1" x14ac:dyDescent="0.2">
      <c r="A10" s="21"/>
      <c r="B10" s="21" t="s">
        <v>226</v>
      </c>
      <c r="C10" s="178"/>
      <c r="D10" s="168"/>
      <c r="E10" s="154"/>
      <c r="F10" s="49"/>
      <c r="G10" s="154"/>
      <c r="H10" s="172"/>
      <c r="I10" s="154"/>
      <c r="J10" s="53"/>
      <c r="K10" s="159"/>
      <c r="L10" s="63">
        <v>75031</v>
      </c>
    </row>
    <row r="11" spans="1:13" ht="15" customHeight="1" x14ac:dyDescent="0.2">
      <c r="A11" s="21"/>
      <c r="B11" s="21" t="s">
        <v>227</v>
      </c>
      <c r="C11" s="178">
        <v>1939869</v>
      </c>
      <c r="D11" s="168">
        <v>1939869</v>
      </c>
      <c r="E11" s="154">
        <v>0</v>
      </c>
      <c r="F11" s="49" t="s">
        <v>135</v>
      </c>
      <c r="G11" s="154">
        <v>0</v>
      </c>
      <c r="H11" s="172" t="s">
        <v>135</v>
      </c>
      <c r="I11" s="154">
        <v>0</v>
      </c>
      <c r="J11" s="53" t="s">
        <v>135</v>
      </c>
      <c r="K11" s="159"/>
      <c r="L11" s="63">
        <v>75070</v>
      </c>
    </row>
    <row r="12" spans="1:13" ht="15" customHeight="1" x14ac:dyDescent="0.2">
      <c r="A12" s="21"/>
      <c r="B12" s="21" t="s">
        <v>228</v>
      </c>
      <c r="C12" s="178">
        <v>11973956</v>
      </c>
      <c r="D12" s="168">
        <v>11973956</v>
      </c>
      <c r="E12" s="154">
        <v>0</v>
      </c>
      <c r="F12" s="49" t="s">
        <v>135</v>
      </c>
      <c r="G12" s="154">
        <v>0</v>
      </c>
      <c r="H12" s="172" t="s">
        <v>135</v>
      </c>
      <c r="I12" s="154">
        <v>0</v>
      </c>
      <c r="J12" s="53" t="s">
        <v>135</v>
      </c>
      <c r="K12" s="159"/>
      <c r="L12" s="64" t="s">
        <v>232</v>
      </c>
    </row>
    <row r="13" spans="1:13" ht="15" customHeight="1" x14ac:dyDescent="0.2">
      <c r="A13" s="21"/>
      <c r="B13" s="21" t="s">
        <v>229</v>
      </c>
      <c r="C13" s="178">
        <v>14388310</v>
      </c>
      <c r="D13" s="168">
        <v>14388310</v>
      </c>
      <c r="E13" s="154">
        <v>67497.919999999998</v>
      </c>
      <c r="F13" s="49">
        <f>+E13/D13</f>
        <v>4.6911638684459817E-3</v>
      </c>
      <c r="G13" s="154">
        <v>0</v>
      </c>
      <c r="H13" s="172" t="s">
        <v>135</v>
      </c>
      <c r="I13" s="154">
        <v>0</v>
      </c>
      <c r="J13" s="53" t="s">
        <v>135</v>
      </c>
      <c r="K13" s="159"/>
      <c r="L13" s="63">
        <v>761</v>
      </c>
    </row>
    <row r="14" spans="1:13" ht="15" customHeight="1" x14ac:dyDescent="0.2">
      <c r="A14" s="21"/>
      <c r="B14" s="21" t="s">
        <v>203</v>
      </c>
      <c r="C14" s="178">
        <v>804514</v>
      </c>
      <c r="D14" s="168">
        <v>804514</v>
      </c>
      <c r="E14" s="154">
        <v>0</v>
      </c>
      <c r="F14" s="49" t="s">
        <v>135</v>
      </c>
      <c r="G14" s="154">
        <v>0</v>
      </c>
      <c r="H14" s="172" t="s">
        <v>135</v>
      </c>
      <c r="I14" s="154">
        <v>0</v>
      </c>
      <c r="J14" s="53" t="s">
        <v>135</v>
      </c>
      <c r="K14" s="159"/>
      <c r="L14" s="63">
        <v>79</v>
      </c>
    </row>
    <row r="15" spans="1:13" ht="15" customHeight="1" x14ac:dyDescent="0.2">
      <c r="A15" s="21"/>
      <c r="B15" s="21" t="s">
        <v>230</v>
      </c>
      <c r="C15" s="178"/>
      <c r="D15" s="168"/>
      <c r="E15" s="154"/>
      <c r="F15" s="49"/>
      <c r="G15" s="154"/>
      <c r="H15" s="172"/>
      <c r="I15" s="154"/>
      <c r="J15" s="53"/>
      <c r="K15" s="159"/>
      <c r="L15" s="64" t="s">
        <v>233</v>
      </c>
    </row>
    <row r="16" spans="1:13" ht="15" customHeight="1" thickBot="1" x14ac:dyDescent="0.25">
      <c r="A16" s="9"/>
      <c r="B16" s="2" t="s">
        <v>6</v>
      </c>
      <c r="C16" s="181">
        <f>SUM(C9:C15)</f>
        <v>29106649</v>
      </c>
      <c r="D16" s="171">
        <f>SUM(D9:D15)</f>
        <v>29106649</v>
      </c>
      <c r="E16" s="92">
        <f>SUM(E9:E15)</f>
        <v>67497.919999999998</v>
      </c>
      <c r="F16" s="98">
        <f>+E16/D16</f>
        <v>2.3189862907269055E-3</v>
      </c>
      <c r="G16" s="92">
        <f>SUM(G9:G15)</f>
        <v>0</v>
      </c>
      <c r="H16" s="439"/>
      <c r="I16" s="92">
        <f>SUM(I9:I15)</f>
        <v>37335.599999999999</v>
      </c>
      <c r="J16" s="44">
        <v>2E-3</v>
      </c>
      <c r="K16" s="390">
        <f t="shared" ref="K16:K17" si="1">+E16/I16-1</f>
        <v>0.80787023644992995</v>
      </c>
    </row>
    <row r="17" spans="1:17" s="6" customFormat="1" ht="19.5" customHeight="1" thickBot="1" x14ac:dyDescent="0.25">
      <c r="A17" s="5"/>
      <c r="B17" s="4" t="s">
        <v>358</v>
      </c>
      <c r="C17" s="182">
        <f>+C8+C16</f>
        <v>29606729</v>
      </c>
      <c r="D17" s="173">
        <f>+D8+D16</f>
        <v>29606729</v>
      </c>
      <c r="E17" s="174">
        <f t="shared" ref="E17:G17" si="2">+E8+E16</f>
        <v>114537.92</v>
      </c>
      <c r="F17" s="202">
        <f t="shared" ref="F17" si="3">+E17/D17</f>
        <v>3.8686448611057302E-3</v>
      </c>
      <c r="G17" s="174">
        <f t="shared" si="2"/>
        <v>47040</v>
      </c>
      <c r="H17" s="194">
        <f>+G17/E17</f>
        <v>0.41069368118436234</v>
      </c>
      <c r="I17" s="165">
        <f>I8+I16</f>
        <v>37335.599999999999</v>
      </c>
      <c r="J17" s="211">
        <v>2E-3</v>
      </c>
      <c r="K17" s="164">
        <f t="shared" si="1"/>
        <v>2.0677937410942908</v>
      </c>
      <c r="L17" s="14"/>
      <c r="N17"/>
      <c r="O17"/>
      <c r="P17"/>
      <c r="Q17"/>
    </row>
    <row r="19" spans="1:17" ht="15.75" thickBot="1" x14ac:dyDescent="0.3">
      <c r="A19" s="7" t="s">
        <v>238</v>
      </c>
    </row>
    <row r="20" spans="1:17" x14ac:dyDescent="0.2">
      <c r="A20" s="8" t="s">
        <v>155</v>
      </c>
      <c r="C20" s="183" t="s">
        <v>510</v>
      </c>
      <c r="D20" s="574" t="s">
        <v>552</v>
      </c>
      <c r="E20" s="575"/>
      <c r="F20" s="575"/>
      <c r="G20" s="575"/>
      <c r="H20" s="576"/>
      <c r="I20" s="578" t="s">
        <v>553</v>
      </c>
      <c r="J20" s="562"/>
      <c r="K20" s="493"/>
    </row>
    <row r="21" spans="1:17" x14ac:dyDescent="0.2">
      <c r="C21" s="176">
        <v>1</v>
      </c>
      <c r="D21" s="166">
        <v>2</v>
      </c>
      <c r="E21" s="95">
        <v>3</v>
      </c>
      <c r="F21" s="96" t="s">
        <v>39</v>
      </c>
      <c r="G21" s="95">
        <v>4</v>
      </c>
      <c r="H21" s="167" t="s">
        <v>49</v>
      </c>
      <c r="I21" s="95" t="s">
        <v>50</v>
      </c>
      <c r="J21" s="16" t="s">
        <v>51</v>
      </c>
      <c r="K21" s="100" t="s">
        <v>366</v>
      </c>
    </row>
    <row r="22" spans="1:17" ht="25.5" x14ac:dyDescent="0.2">
      <c r="A22" s="1"/>
      <c r="B22" s="2" t="s">
        <v>156</v>
      </c>
      <c r="C22" s="177" t="s">
        <v>47</v>
      </c>
      <c r="D22" s="127" t="s">
        <v>48</v>
      </c>
      <c r="E22" s="97" t="s">
        <v>139</v>
      </c>
      <c r="F22" s="97" t="s">
        <v>18</v>
      </c>
      <c r="G22" s="97" t="s">
        <v>421</v>
      </c>
      <c r="H22" s="128" t="s">
        <v>18</v>
      </c>
      <c r="I22" s="97" t="s">
        <v>139</v>
      </c>
      <c r="J22" s="12" t="s">
        <v>18</v>
      </c>
      <c r="K22" s="101" t="s">
        <v>550</v>
      </c>
      <c r="L22" s="62" t="s">
        <v>169</v>
      </c>
    </row>
    <row r="23" spans="1:17" s="99" customFormat="1" x14ac:dyDescent="0.2">
      <c r="A23" s="21"/>
      <c r="B23" s="269" t="s">
        <v>485</v>
      </c>
      <c r="C23" s="178">
        <v>5000000</v>
      </c>
      <c r="D23" s="188">
        <v>5000000</v>
      </c>
      <c r="E23" s="154"/>
      <c r="F23" s="49" t="s">
        <v>135</v>
      </c>
      <c r="G23" s="154"/>
      <c r="H23" s="172" t="s">
        <v>135</v>
      </c>
      <c r="I23" s="154"/>
      <c r="J23" s="53"/>
      <c r="K23" s="286" t="s">
        <v>135</v>
      </c>
      <c r="L23" s="63" t="s">
        <v>486</v>
      </c>
      <c r="N23"/>
      <c r="O23"/>
      <c r="P23"/>
      <c r="Q23"/>
    </row>
    <row r="24" spans="1:17" s="99" customFormat="1" x14ac:dyDescent="0.2">
      <c r="A24" s="21"/>
      <c r="B24" s="544" t="s">
        <v>484</v>
      </c>
      <c r="C24" s="178"/>
      <c r="D24" s="188"/>
      <c r="E24" s="154"/>
      <c r="F24" s="49"/>
      <c r="G24" s="154"/>
      <c r="H24" s="172"/>
      <c r="I24" s="154"/>
      <c r="J24" s="53"/>
      <c r="K24" s="286"/>
      <c r="L24" s="63">
        <v>85000</v>
      </c>
      <c r="N24"/>
      <c r="O24"/>
      <c r="P24"/>
      <c r="Q24"/>
    </row>
    <row r="25" spans="1:17" s="99" customFormat="1" x14ac:dyDescent="0.2">
      <c r="A25" s="21"/>
      <c r="B25" s="269" t="s">
        <v>441</v>
      </c>
      <c r="C25" s="178"/>
      <c r="D25" s="188"/>
      <c r="E25" s="154"/>
      <c r="F25" s="49"/>
      <c r="G25" s="154"/>
      <c r="H25" s="172"/>
      <c r="I25" s="154"/>
      <c r="J25" s="53"/>
      <c r="K25" s="286"/>
      <c r="L25" s="63">
        <v>85005</v>
      </c>
      <c r="M25"/>
      <c r="N25"/>
      <c r="O25"/>
      <c r="P25"/>
      <c r="Q25"/>
    </row>
    <row r="26" spans="1:17" s="99" customFormat="1" x14ac:dyDescent="0.2">
      <c r="A26" s="21"/>
      <c r="B26" s="21" t="s">
        <v>501</v>
      </c>
      <c r="C26" s="178"/>
      <c r="D26" s="188"/>
      <c r="E26" s="154"/>
      <c r="F26" s="49"/>
      <c r="G26" s="154"/>
      <c r="H26" s="172"/>
      <c r="I26" s="154"/>
      <c r="J26" s="53"/>
      <c r="K26" s="102"/>
      <c r="L26" s="63" t="s">
        <v>364</v>
      </c>
      <c r="M26"/>
      <c r="N26"/>
      <c r="O26"/>
      <c r="P26"/>
      <c r="Q26"/>
    </row>
    <row r="27" spans="1:17" s="99" customFormat="1" x14ac:dyDescent="0.2">
      <c r="A27" s="21"/>
      <c r="B27" s="21" t="s">
        <v>419</v>
      </c>
      <c r="C27" s="178"/>
      <c r="D27" s="188"/>
      <c r="E27" s="154"/>
      <c r="F27" s="49"/>
      <c r="G27" s="154"/>
      <c r="H27" s="172"/>
      <c r="I27" s="154"/>
      <c r="J27" s="53"/>
      <c r="K27" s="102"/>
      <c r="L27" s="63" t="s">
        <v>365</v>
      </c>
      <c r="M27"/>
      <c r="N27"/>
      <c r="O27"/>
      <c r="P27"/>
      <c r="Q27"/>
    </row>
    <row r="28" spans="1:17" ht="15" customHeight="1" x14ac:dyDescent="0.2">
      <c r="A28" s="21"/>
      <c r="B28" s="21" t="s">
        <v>236</v>
      </c>
      <c r="C28" s="178">
        <v>150000</v>
      </c>
      <c r="D28" s="188">
        <v>150000</v>
      </c>
      <c r="E28" s="154">
        <v>0</v>
      </c>
      <c r="F28" s="49" t="s">
        <v>135</v>
      </c>
      <c r="G28" s="154">
        <v>0</v>
      </c>
      <c r="H28" s="172" t="s">
        <v>135</v>
      </c>
      <c r="I28" s="31">
        <v>91046.12</v>
      </c>
      <c r="J28" s="53">
        <v>0.60697413333333328</v>
      </c>
      <c r="K28" s="286">
        <f>+E28/I28-1</f>
        <v>-1</v>
      </c>
      <c r="L28" s="63">
        <v>94101</v>
      </c>
    </row>
    <row r="29" spans="1:17" ht="15" customHeight="1" x14ac:dyDescent="0.2">
      <c r="A29" s="70"/>
      <c r="B29" s="70" t="s">
        <v>237</v>
      </c>
      <c r="C29" s="198">
        <v>1400000</v>
      </c>
      <c r="D29" s="463">
        <v>1400000</v>
      </c>
      <c r="E29" s="71">
        <v>310524.65999999997</v>
      </c>
      <c r="F29" s="458">
        <f>+E29/D29</f>
        <v>0.22180332857142857</v>
      </c>
      <c r="G29" s="71">
        <v>310524.65999999997</v>
      </c>
      <c r="H29" s="492">
        <f>+G29/E29</f>
        <v>1</v>
      </c>
      <c r="I29" s="200">
        <v>149540.54999999999</v>
      </c>
      <c r="J29" s="72">
        <v>9.0630636363636358E-2</v>
      </c>
      <c r="K29" s="106">
        <f>+E29/I29-1</f>
        <v>1.0765247954484587</v>
      </c>
      <c r="L29" s="64">
        <v>94102</v>
      </c>
    </row>
    <row r="30" spans="1:17" ht="15" customHeight="1" thickBot="1" x14ac:dyDescent="0.25">
      <c r="A30" s="59"/>
      <c r="B30" s="59" t="s">
        <v>247</v>
      </c>
      <c r="C30" s="198">
        <v>160000000</v>
      </c>
      <c r="D30" s="463">
        <v>160000000</v>
      </c>
      <c r="E30" s="60"/>
      <c r="F30" s="49" t="s">
        <v>135</v>
      </c>
      <c r="G30" s="60"/>
      <c r="H30" s="172" t="s">
        <v>135</v>
      </c>
      <c r="I30" s="201">
        <v>0</v>
      </c>
      <c r="J30" s="61">
        <v>0</v>
      </c>
      <c r="K30" s="106" t="s">
        <v>135</v>
      </c>
      <c r="L30" s="64" t="s">
        <v>248</v>
      </c>
    </row>
    <row r="31" spans="1:17" s="6" customFormat="1" ht="19.5" customHeight="1" thickBot="1" x14ac:dyDescent="0.25">
      <c r="A31" s="5"/>
      <c r="B31" s="4" t="s">
        <v>470</v>
      </c>
      <c r="C31" s="182">
        <f>SUM(C23:C30)</f>
        <v>166550000</v>
      </c>
      <c r="D31" s="173">
        <f>SUM(D23:D30)</f>
        <v>166550000</v>
      </c>
      <c r="E31" s="174">
        <f>SUM(E23:E30)</f>
        <v>310524.65999999997</v>
      </c>
      <c r="F31" s="202">
        <f>+E31/(D31-D27)</f>
        <v>1.8644530771540076E-3</v>
      </c>
      <c r="G31" s="174">
        <f>SUM(G23:G30)</f>
        <v>310524.65999999997</v>
      </c>
      <c r="H31" s="194">
        <f>+G31/E31</f>
        <v>1</v>
      </c>
      <c r="I31" s="422">
        <f>SUM(I23:I30)</f>
        <v>240586.66999999998</v>
      </c>
      <c r="J31" s="202">
        <v>1.0138502311904665E-3</v>
      </c>
      <c r="K31" s="103">
        <f>+E31/I31-1</f>
        <v>0.29069769326787731</v>
      </c>
      <c r="L31" s="14"/>
      <c r="M31"/>
      <c r="N31"/>
      <c r="O31"/>
      <c r="P31"/>
      <c r="Q31"/>
    </row>
    <row r="32" spans="1:17" x14ac:dyDescent="0.2">
      <c r="B32" s="289"/>
    </row>
    <row r="36" spans="2:2" x14ac:dyDescent="0.2">
      <c r="B36" s="47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51181102362204722" right="0.51181102362204722" top="1.1417322834645669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P36"/>
  <sheetViews>
    <sheetView topLeftCell="A11" zoomScaleNormal="100" workbookViewId="0">
      <selection activeCell="E39" sqref="E3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83" t="s">
        <v>510</v>
      </c>
      <c r="D2" s="311" t="s">
        <v>154</v>
      </c>
      <c r="E2" s="582" t="s">
        <v>552</v>
      </c>
      <c r="F2" s="583"/>
      <c r="G2" s="583"/>
      <c r="H2" s="583"/>
      <c r="I2" s="583"/>
      <c r="J2" s="583"/>
      <c r="K2" s="583"/>
      <c r="L2" s="583"/>
      <c r="M2" s="584"/>
      <c r="N2" s="580" t="s">
        <v>553</v>
      </c>
      <c r="O2" s="581"/>
      <c r="P2" s="502"/>
    </row>
    <row r="3" spans="1:16" x14ac:dyDescent="0.2">
      <c r="C3" s="176">
        <v>1</v>
      </c>
      <c r="D3" s="166"/>
      <c r="E3" s="166">
        <v>2</v>
      </c>
      <c r="F3" s="95"/>
      <c r="G3" s="95">
        <v>3</v>
      </c>
      <c r="H3" s="96" t="s">
        <v>39</v>
      </c>
      <c r="I3" s="95">
        <v>4</v>
      </c>
      <c r="J3" s="96" t="s">
        <v>40</v>
      </c>
      <c r="K3" s="95">
        <v>5</v>
      </c>
      <c r="L3" s="95"/>
      <c r="M3" s="167" t="s">
        <v>41</v>
      </c>
      <c r="N3" s="95" t="s">
        <v>42</v>
      </c>
      <c r="O3" s="96" t="s">
        <v>43</v>
      </c>
      <c r="P3" s="312" t="s">
        <v>368</v>
      </c>
    </row>
    <row r="4" spans="1:16" ht="25.5" x14ac:dyDescent="0.2">
      <c r="A4" s="1"/>
      <c r="B4" s="2" t="s">
        <v>12</v>
      </c>
      <c r="C4" s="177" t="s">
        <v>13</v>
      </c>
      <c r="D4" s="127" t="s">
        <v>461</v>
      </c>
      <c r="E4" s="127" t="s">
        <v>14</v>
      </c>
      <c r="F4" s="97" t="s">
        <v>462</v>
      </c>
      <c r="G4" s="97" t="s">
        <v>15</v>
      </c>
      <c r="H4" s="97" t="s">
        <v>18</v>
      </c>
      <c r="I4" s="97" t="s">
        <v>16</v>
      </c>
      <c r="J4" s="97" t="s">
        <v>18</v>
      </c>
      <c r="K4" s="97" t="s">
        <v>17</v>
      </c>
      <c r="L4" s="97" t="s">
        <v>463</v>
      </c>
      <c r="M4" s="128" t="s">
        <v>18</v>
      </c>
      <c r="N4" s="97" t="s">
        <v>17</v>
      </c>
      <c r="O4" s="12" t="s">
        <v>18</v>
      </c>
      <c r="P4" s="158" t="s">
        <v>550</v>
      </c>
    </row>
    <row r="5" spans="1:16" ht="15" customHeight="1" x14ac:dyDescent="0.2">
      <c r="A5" s="21">
        <v>1</v>
      </c>
      <c r="B5" s="21" t="s">
        <v>0</v>
      </c>
      <c r="C5" s="178">
        <v>355786464.55000001</v>
      </c>
      <c r="D5" s="304">
        <f>C5/C17</f>
        <v>0.13949312918635584</v>
      </c>
      <c r="E5" s="168">
        <v>355818464.55000001</v>
      </c>
      <c r="F5" s="306">
        <f>E5/E17</f>
        <v>0.13943945926856913</v>
      </c>
      <c r="G5" s="154">
        <v>50437458.060000002</v>
      </c>
      <c r="H5" s="49">
        <f t="shared" ref="H5:H10" si="0">+G5/E5</f>
        <v>0.14175053597566314</v>
      </c>
      <c r="I5" s="154">
        <v>49951479.68</v>
      </c>
      <c r="J5" s="49">
        <f t="shared" ref="J5:J17" si="1">+I5/E5</f>
        <v>0.14038473170068091</v>
      </c>
      <c r="K5" s="154">
        <v>49564388.850000001</v>
      </c>
      <c r="L5" s="306">
        <f>K5/K17</f>
        <v>0.12663050498920606</v>
      </c>
      <c r="M5" s="172">
        <f t="shared" ref="M5:M17" si="2">+K5/E5</f>
        <v>0.1392968431604121</v>
      </c>
      <c r="N5" s="154">
        <v>48487585.420000002</v>
      </c>
      <c r="O5" s="172">
        <v>0.13923433304930552</v>
      </c>
      <c r="P5" s="159">
        <f>+K5/N5-1</f>
        <v>2.2207817128296226E-2</v>
      </c>
    </row>
    <row r="6" spans="1:16" ht="15" customHeight="1" x14ac:dyDescent="0.2">
      <c r="A6" s="23">
        <v>2</v>
      </c>
      <c r="B6" s="23" t="s">
        <v>1</v>
      </c>
      <c r="C6" s="178">
        <v>603468828.02999997</v>
      </c>
      <c r="D6" s="304">
        <f>C6/C17</f>
        <v>0.2366019047261913</v>
      </c>
      <c r="E6" s="168">
        <v>603498809.02999997</v>
      </c>
      <c r="F6" s="306">
        <f>E6/E17</f>
        <v>0.23650135106617998</v>
      </c>
      <c r="G6" s="154">
        <v>514965274.74000001</v>
      </c>
      <c r="H6" s="325">
        <f t="shared" si="0"/>
        <v>0.85329957082715813</v>
      </c>
      <c r="I6" s="154">
        <v>488911374.5</v>
      </c>
      <c r="J6" s="325">
        <f t="shared" si="1"/>
        <v>0.81012815134767924</v>
      </c>
      <c r="K6" s="154">
        <v>13798101.130000001</v>
      </c>
      <c r="L6" s="498">
        <f>K6/K17</f>
        <v>3.5252336496509322E-2</v>
      </c>
      <c r="M6" s="199">
        <f t="shared" si="2"/>
        <v>2.2863510123868523E-2</v>
      </c>
      <c r="N6" s="151">
        <v>18448937.780000001</v>
      </c>
      <c r="O6" s="199">
        <v>3.2716285324106725E-2</v>
      </c>
      <c r="P6" s="160">
        <f t="shared" ref="P6:P15" si="3">+K6/N6-1</f>
        <v>-0.25209238089803998</v>
      </c>
    </row>
    <row r="7" spans="1:16" ht="15" customHeight="1" x14ac:dyDescent="0.2">
      <c r="A7" s="23">
        <v>3</v>
      </c>
      <c r="B7" s="23" t="s">
        <v>2</v>
      </c>
      <c r="C7" s="178">
        <v>34707752.200000003</v>
      </c>
      <c r="D7" s="304">
        <f>C7/C17</f>
        <v>1.3607861579349748E-2</v>
      </c>
      <c r="E7" s="168">
        <v>34707752.200000003</v>
      </c>
      <c r="F7" s="306">
        <f>E7/E17</f>
        <v>1.360140262905165E-2</v>
      </c>
      <c r="G7" s="154">
        <v>6668739.5199999996</v>
      </c>
      <c r="H7" s="325">
        <f t="shared" si="0"/>
        <v>0.19213976985810102</v>
      </c>
      <c r="I7" s="154">
        <v>6668739.5199999996</v>
      </c>
      <c r="J7" s="325">
        <f t="shared" si="1"/>
        <v>0.19213976985810102</v>
      </c>
      <c r="K7" s="154">
        <v>6668739.5199999996</v>
      </c>
      <c r="L7" s="498">
        <f>K7/K17</f>
        <v>1.7037753771457539E-2</v>
      </c>
      <c r="M7" s="199">
        <f t="shared" si="2"/>
        <v>0.19213976985810102</v>
      </c>
      <c r="N7" s="151">
        <v>10502428.630000001</v>
      </c>
      <c r="O7" s="199">
        <v>0.26498298797782777</v>
      </c>
      <c r="P7" s="160">
        <f t="shared" si="3"/>
        <v>-0.36502881810109489</v>
      </c>
    </row>
    <row r="8" spans="1:16" ht="15" customHeight="1" x14ac:dyDescent="0.2">
      <c r="A8" s="23">
        <v>4</v>
      </c>
      <c r="B8" s="23" t="s">
        <v>3</v>
      </c>
      <c r="C8" s="178">
        <v>995669824.77999997</v>
      </c>
      <c r="D8" s="430">
        <f>C8/C17</f>
        <v>0.39037207239083771</v>
      </c>
      <c r="E8" s="168">
        <v>1008681784.96</v>
      </c>
      <c r="F8" s="498">
        <f>E8/E17</f>
        <v>0.39528595809876316</v>
      </c>
      <c r="G8" s="154">
        <v>804377630.67999995</v>
      </c>
      <c r="H8" s="325">
        <f t="shared" si="0"/>
        <v>0.79745430389812988</v>
      </c>
      <c r="I8" s="154">
        <v>792855476.60000002</v>
      </c>
      <c r="J8" s="325">
        <f t="shared" si="1"/>
        <v>0.78603132169323475</v>
      </c>
      <c r="K8" s="154">
        <v>169278038.61000001</v>
      </c>
      <c r="L8" s="498">
        <f>K8/K17</f>
        <v>0.43248315998890041</v>
      </c>
      <c r="M8" s="518">
        <f t="shared" si="2"/>
        <v>0.16782105232197966</v>
      </c>
      <c r="N8" s="151">
        <v>163044063.65000001</v>
      </c>
      <c r="O8" s="199">
        <v>0.17571976074534942</v>
      </c>
      <c r="P8" s="160">
        <f t="shared" si="3"/>
        <v>3.8234909143225471E-2</v>
      </c>
    </row>
    <row r="9" spans="1:16" ht="15" customHeight="1" x14ac:dyDescent="0.2">
      <c r="A9" s="59">
        <v>5</v>
      </c>
      <c r="B9" s="59" t="s">
        <v>487</v>
      </c>
      <c r="C9" s="178">
        <v>6477736.8899999997</v>
      </c>
      <c r="D9" s="431">
        <f>C9/C17</f>
        <v>2.5397250285360603E-3</v>
      </c>
      <c r="E9" s="168">
        <v>1614992.89</v>
      </c>
      <c r="F9" s="310">
        <f>E9/E17</f>
        <v>6.3288940215338175E-4</v>
      </c>
      <c r="G9" s="154">
        <v>0</v>
      </c>
      <c r="H9" s="86" t="s">
        <v>135</v>
      </c>
      <c r="I9" s="154">
        <v>0</v>
      </c>
      <c r="J9" s="86" t="s">
        <v>135</v>
      </c>
      <c r="K9" s="154">
        <v>0</v>
      </c>
      <c r="L9" s="310" t="s">
        <v>135</v>
      </c>
      <c r="M9" s="193" t="s">
        <v>135</v>
      </c>
      <c r="N9" s="60">
        <v>0</v>
      </c>
      <c r="O9" s="193">
        <v>0</v>
      </c>
      <c r="P9" s="185" t="s">
        <v>135</v>
      </c>
    </row>
    <row r="10" spans="1:16" ht="15" customHeight="1" x14ac:dyDescent="0.2">
      <c r="A10" s="9"/>
      <c r="B10" s="2" t="s">
        <v>4</v>
      </c>
      <c r="C10" s="181">
        <f>SUM(C5:C9)</f>
        <v>1996110606.45</v>
      </c>
      <c r="D10" s="303">
        <f>C10/C17</f>
        <v>0.78261469291127073</v>
      </c>
      <c r="E10" s="171">
        <f>SUM(E5:E9)</f>
        <v>2004321803.6300001</v>
      </c>
      <c r="F10" s="307">
        <f>E10/E17</f>
        <v>0.78546106046471731</v>
      </c>
      <c r="G10" s="92">
        <f>SUM(G5:G9)</f>
        <v>1376449103</v>
      </c>
      <c r="H10" s="98">
        <f t="shared" si="0"/>
        <v>0.68674057255034182</v>
      </c>
      <c r="I10" s="92">
        <f>SUM(I5:I9)</f>
        <v>1338387070.3</v>
      </c>
      <c r="J10" s="98">
        <f t="shared" si="1"/>
        <v>0.66775059168446171</v>
      </c>
      <c r="K10" s="92">
        <f>SUM(K5:K8)</f>
        <v>239309268.11000001</v>
      </c>
      <c r="L10" s="307">
        <f>K10/K17</f>
        <v>0.61140375524607338</v>
      </c>
      <c r="M10" s="190">
        <f t="shared" si="2"/>
        <v>0.11939662966126011</v>
      </c>
      <c r="N10" s="92">
        <f>SUM(N5:N9)</f>
        <v>240483015.48000002</v>
      </c>
      <c r="O10" s="98">
        <v>0.126</v>
      </c>
      <c r="P10" s="162">
        <f t="shared" si="3"/>
        <v>-4.8807911346970823E-3</v>
      </c>
    </row>
    <row r="11" spans="1:16" ht="15" customHeight="1" x14ac:dyDescent="0.2">
      <c r="A11" s="21">
        <v>6</v>
      </c>
      <c r="B11" s="21" t="s">
        <v>5</v>
      </c>
      <c r="C11" s="178">
        <v>352109003.55000001</v>
      </c>
      <c r="D11" s="304">
        <f>C11/C17</f>
        <v>0.13805130777530356</v>
      </c>
      <c r="E11" s="168">
        <v>344597302.55000001</v>
      </c>
      <c r="F11" s="306">
        <f>E11/E17</f>
        <v>0.135042068695756</v>
      </c>
      <c r="G11" s="154">
        <v>91019517.019999996</v>
      </c>
      <c r="H11" s="49">
        <f t="shared" ref="H11:H17" si="4">+G11/E11</f>
        <v>0.26413299334167989</v>
      </c>
      <c r="I11" s="154">
        <v>87303319.329999998</v>
      </c>
      <c r="J11" s="49">
        <f t="shared" si="1"/>
        <v>0.25334881812469368</v>
      </c>
      <c r="K11" s="154">
        <v>35263073.030000001</v>
      </c>
      <c r="L11" s="306">
        <f>K11/K17</f>
        <v>9.0092521039128126E-2</v>
      </c>
      <c r="M11" s="172">
        <f t="shared" si="2"/>
        <v>0.10233125090955533</v>
      </c>
      <c r="N11" s="154">
        <v>12504102.220000001</v>
      </c>
      <c r="O11" s="172">
        <v>3.1336246484357795E-2</v>
      </c>
      <c r="P11" s="159">
        <f t="shared" si="3"/>
        <v>1.8201203420744267</v>
      </c>
    </row>
    <row r="12" spans="1:16" ht="15" customHeight="1" x14ac:dyDescent="0.2">
      <c r="A12" s="25">
        <v>7</v>
      </c>
      <c r="B12" s="25" t="s">
        <v>6</v>
      </c>
      <c r="C12" s="178">
        <v>21741338.550000001</v>
      </c>
      <c r="D12" s="305">
        <f>C12/C17</f>
        <v>8.5241223295981858E-3</v>
      </c>
      <c r="E12" s="168">
        <v>22253039.550000001</v>
      </c>
      <c r="F12" s="308">
        <f>E12/E17</f>
        <v>8.7206036534904253E-3</v>
      </c>
      <c r="G12" s="154">
        <v>1670000</v>
      </c>
      <c r="H12" s="464">
        <f t="shared" si="4"/>
        <v>7.5045927826969588E-2</v>
      </c>
      <c r="I12" s="154">
        <v>1670000</v>
      </c>
      <c r="J12" s="464">
        <f t="shared" si="1"/>
        <v>7.5045927826969588E-2</v>
      </c>
      <c r="K12" s="154">
        <v>0</v>
      </c>
      <c r="L12" s="308" t="s">
        <v>135</v>
      </c>
      <c r="M12" s="466">
        <f t="shared" si="2"/>
        <v>0</v>
      </c>
      <c r="N12" s="155">
        <v>1000000</v>
      </c>
      <c r="O12" s="466">
        <v>3.9530053692596719E-2</v>
      </c>
      <c r="P12" s="159">
        <f t="shared" si="3"/>
        <v>-1</v>
      </c>
    </row>
    <row r="13" spans="1:16" ht="15" customHeight="1" x14ac:dyDescent="0.2">
      <c r="A13" s="9"/>
      <c r="B13" s="2" t="s">
        <v>7</v>
      </c>
      <c r="C13" s="181">
        <f>SUM(C11:C12)</f>
        <v>373850342.10000002</v>
      </c>
      <c r="D13" s="303">
        <f>C13/C17</f>
        <v>0.14657543010490173</v>
      </c>
      <c r="E13" s="171">
        <f>SUM(E11:E12)</f>
        <v>366850342.10000002</v>
      </c>
      <c r="F13" s="307">
        <f>E13/E17</f>
        <v>0.14376267234924642</v>
      </c>
      <c r="G13" s="92">
        <f>SUM(G11:G12)</f>
        <v>92689517.019999996</v>
      </c>
      <c r="H13" s="98">
        <f t="shared" si="4"/>
        <v>0.25266302462581236</v>
      </c>
      <c r="I13" s="92">
        <f>SUM(I11:I12)</f>
        <v>88973319.329999998</v>
      </c>
      <c r="J13" s="98">
        <f t="shared" si="1"/>
        <v>0.2425330144730973</v>
      </c>
      <c r="K13" s="92">
        <f>SUM(K11:K12)</f>
        <v>35263073.030000001</v>
      </c>
      <c r="L13" s="307">
        <f>K13/K17</f>
        <v>9.0092521039128126E-2</v>
      </c>
      <c r="M13" s="190">
        <f t="shared" si="2"/>
        <v>9.612386573810966E-2</v>
      </c>
      <c r="N13" s="92">
        <f>SUM(N11:N12)</f>
        <v>13504102.220000001</v>
      </c>
      <c r="O13" s="98">
        <v>3.2000000000000001E-2</v>
      </c>
      <c r="P13" s="162">
        <f>+K13/N13-1</f>
        <v>1.611285997063491</v>
      </c>
    </row>
    <row r="14" spans="1:16" ht="15" customHeight="1" x14ac:dyDescent="0.2">
      <c r="A14" s="21">
        <v>8</v>
      </c>
      <c r="B14" s="21" t="s">
        <v>8</v>
      </c>
      <c r="C14" s="178">
        <v>21421544.140000001</v>
      </c>
      <c r="D14" s="304">
        <f>C14/C17</f>
        <v>8.3987405981609704E-3</v>
      </c>
      <c r="E14" s="168">
        <v>21421544.140000001</v>
      </c>
      <c r="F14" s="306">
        <f>E14/E17</f>
        <v>8.3947541490209769E-3</v>
      </c>
      <c r="G14" s="154">
        <v>7821544.1399999997</v>
      </c>
      <c r="H14" s="49">
        <f t="shared" si="4"/>
        <v>0.36512513238459754</v>
      </c>
      <c r="I14" s="154">
        <v>7821544.1399999997</v>
      </c>
      <c r="J14" s="49">
        <f t="shared" si="1"/>
        <v>0.36512513238459754</v>
      </c>
      <c r="K14" s="154">
        <v>0</v>
      </c>
      <c r="L14" s="306" t="s">
        <v>135</v>
      </c>
      <c r="M14" s="172">
        <f t="shared" si="2"/>
        <v>0</v>
      </c>
      <c r="N14" s="154">
        <v>7821544.1399999997</v>
      </c>
      <c r="O14" s="172">
        <v>6.7205474822678163E-2</v>
      </c>
      <c r="P14" s="159">
        <f>+K14/N14-1</f>
        <v>-1</v>
      </c>
    </row>
    <row r="15" spans="1:16" ht="15" customHeight="1" x14ac:dyDescent="0.2">
      <c r="A15" s="25">
        <v>9</v>
      </c>
      <c r="B15" s="25" t="s">
        <v>9</v>
      </c>
      <c r="C15" s="178">
        <v>159183736.81</v>
      </c>
      <c r="D15" s="305">
        <f>C15/C17</f>
        <v>6.2411136385666637E-2</v>
      </c>
      <c r="E15" s="168">
        <v>159183736.81</v>
      </c>
      <c r="F15" s="308">
        <f>E15/E17</f>
        <v>6.238151303701539E-2</v>
      </c>
      <c r="G15" s="154">
        <v>116837207.88</v>
      </c>
      <c r="H15" s="464">
        <f t="shared" si="4"/>
        <v>0.73397703949779514</v>
      </c>
      <c r="I15" s="154">
        <v>116837207.88</v>
      </c>
      <c r="J15" s="464">
        <f t="shared" si="1"/>
        <v>0.73397703949779514</v>
      </c>
      <c r="K15" s="154">
        <v>116837207.88</v>
      </c>
      <c r="L15" s="308">
        <f>K15/K17</f>
        <v>0.29850372371479861</v>
      </c>
      <c r="M15" s="466">
        <f t="shared" si="2"/>
        <v>0.73397703949779514</v>
      </c>
      <c r="N15" s="155">
        <v>96473519.019999996</v>
      </c>
      <c r="O15" s="466">
        <v>0.73365992335883634</v>
      </c>
      <c r="P15" s="161">
        <f t="shared" si="3"/>
        <v>0.21108060602390166</v>
      </c>
    </row>
    <row r="16" spans="1:16" ht="15" customHeight="1" thickBot="1" x14ac:dyDescent="0.25">
      <c r="A16" s="9"/>
      <c r="B16" s="2" t="s">
        <v>10</v>
      </c>
      <c r="C16" s="181">
        <f>SUM(C14:C15)</f>
        <v>180605280.94999999</v>
      </c>
      <c r="D16" s="303">
        <f>C16/C17</f>
        <v>7.0809876983827597E-2</v>
      </c>
      <c r="E16" s="171">
        <f>SUM(E14:E15)</f>
        <v>180605280.94999999</v>
      </c>
      <c r="F16" s="307">
        <f>E16/E17</f>
        <v>7.0776267186036371E-2</v>
      </c>
      <c r="G16" s="92">
        <f>SUM(G14:G15)</f>
        <v>124658752.02</v>
      </c>
      <c r="H16" s="98">
        <f t="shared" si="4"/>
        <v>0.69022761330279914</v>
      </c>
      <c r="I16" s="92">
        <f>SUM(I14:I15)</f>
        <v>124658752.02</v>
      </c>
      <c r="J16" s="98">
        <f t="shared" si="1"/>
        <v>0.69022761330279914</v>
      </c>
      <c r="K16" s="92">
        <f>SUM(K14:K15)</f>
        <v>116837207.88</v>
      </c>
      <c r="L16" s="307">
        <f>K16/K17</f>
        <v>0.29850372371479861</v>
      </c>
      <c r="M16" s="190">
        <f t="shared" si="2"/>
        <v>0.64692021886306861</v>
      </c>
      <c r="N16" s="92">
        <f>SUM(N14:N15)</f>
        <v>104295063.16</v>
      </c>
      <c r="O16" s="98">
        <v>0.42099999999999999</v>
      </c>
      <c r="P16" s="162">
        <f>+K16/N16-1</f>
        <v>0.12025636056002931</v>
      </c>
    </row>
    <row r="17" spans="1:16" s="6" customFormat="1" ht="19.5" customHeight="1" thickBot="1" x14ac:dyDescent="0.25">
      <c r="A17" s="5"/>
      <c r="B17" s="4" t="s">
        <v>11</v>
      </c>
      <c r="C17" s="182">
        <f>+C10+C13+C16</f>
        <v>2550566229.5</v>
      </c>
      <c r="D17" s="494"/>
      <c r="E17" s="173">
        <f>+E10+E13+E16</f>
        <v>2551777426.6799998</v>
      </c>
      <c r="F17" s="309"/>
      <c r="G17" s="174">
        <f>+G10+G13+G16</f>
        <v>1593797372.04</v>
      </c>
      <c r="H17" s="202">
        <f t="shared" si="4"/>
        <v>0.62458322398188793</v>
      </c>
      <c r="I17" s="174">
        <f>+I10+I13+I16</f>
        <v>1552019141.6499999</v>
      </c>
      <c r="J17" s="202">
        <f t="shared" si="1"/>
        <v>0.60821101614228967</v>
      </c>
      <c r="K17" s="174">
        <f>+K10+K13+K16</f>
        <v>391409549.01999998</v>
      </c>
      <c r="L17" s="309"/>
      <c r="M17" s="194">
        <f t="shared" si="2"/>
        <v>0.15338702542299895</v>
      </c>
      <c r="N17" s="165">
        <f>N10+N13+N16</f>
        <v>358282180.86000001</v>
      </c>
      <c r="O17" s="501">
        <v>0.13900000000000001</v>
      </c>
      <c r="P17" s="164">
        <f>+K17/N17-1</f>
        <v>9.2461668287501464E-2</v>
      </c>
    </row>
    <row r="18" spans="1:16" x14ac:dyDescent="0.2">
      <c r="E18" s="47"/>
      <c r="G18" s="47"/>
      <c r="I18" s="47"/>
      <c r="K18" s="47"/>
    </row>
    <row r="19" spans="1:16" x14ac:dyDescent="0.2">
      <c r="A19" s="8" t="s">
        <v>554</v>
      </c>
      <c r="E19" s="298"/>
      <c r="F19" s="499"/>
      <c r="G19" s="298"/>
      <c r="H19" s="499"/>
      <c r="K19" s="579"/>
      <c r="L19" s="579"/>
    </row>
    <row r="20" spans="1:16" x14ac:dyDescent="0.2">
      <c r="C20" s="14"/>
      <c r="D20" s="14"/>
      <c r="E20" s="14"/>
      <c r="F20" s="15"/>
      <c r="G20" s="14"/>
      <c r="H20" s="15"/>
      <c r="I20" s="14"/>
      <c r="J20" s="15"/>
      <c r="N20" s="95"/>
      <c r="O20" s="96"/>
    </row>
    <row r="21" spans="1:16" ht="38.25" x14ac:dyDescent="0.2">
      <c r="A21" s="1"/>
      <c r="B21" s="2" t="s">
        <v>12</v>
      </c>
      <c r="C21" s="3" t="s">
        <v>502</v>
      </c>
      <c r="D21" s="3" t="s">
        <v>476</v>
      </c>
      <c r="E21" s="3" t="s">
        <v>359</v>
      </c>
      <c r="F21" s="3"/>
      <c r="G21" s="3" t="s">
        <v>360</v>
      </c>
      <c r="H21" s="3"/>
      <c r="I21" s="3" t="s">
        <v>361</v>
      </c>
      <c r="J21" s="3"/>
      <c r="K21" s="97" t="s">
        <v>442</v>
      </c>
      <c r="L21" s="97" t="s">
        <v>468</v>
      </c>
      <c r="M21" s="97" t="s">
        <v>418</v>
      </c>
      <c r="N21" s="62"/>
      <c r="O21" s="97" t="s">
        <v>362</v>
      </c>
      <c r="P21" s="97" t="s">
        <v>18</v>
      </c>
    </row>
    <row r="22" spans="1:16" x14ac:dyDescent="0.2">
      <c r="A22" s="21">
        <v>1</v>
      </c>
      <c r="B22" s="21" t="s">
        <v>0</v>
      </c>
      <c r="C22" s="22">
        <v>0</v>
      </c>
      <c r="D22" s="403">
        <v>0</v>
      </c>
      <c r="E22" s="151">
        <v>27107359.82</v>
      </c>
      <c r="F22" s="49"/>
      <c r="G22" s="151">
        <v>27075359.82</v>
      </c>
      <c r="H22" s="49"/>
      <c r="I22" s="22">
        <v>0</v>
      </c>
      <c r="J22" s="49"/>
      <c r="K22" s="154">
        <v>0</v>
      </c>
      <c r="L22" s="403">
        <v>0</v>
      </c>
      <c r="M22" s="403">
        <v>0</v>
      </c>
      <c r="N22" s="397"/>
      <c r="O22" s="389">
        <v>32000</v>
      </c>
      <c r="P22" s="49">
        <f t="shared" ref="P22:P34" si="5">O22/C5</f>
        <v>8.9941589094665855E-5</v>
      </c>
    </row>
    <row r="23" spans="1:16" x14ac:dyDescent="0.2">
      <c r="A23" s="23">
        <v>2</v>
      </c>
      <c r="B23" s="23" t="s">
        <v>1</v>
      </c>
      <c r="C23" s="24">
        <v>30090</v>
      </c>
      <c r="D23" s="389">
        <v>0</v>
      </c>
      <c r="E23" s="24">
        <v>694494</v>
      </c>
      <c r="F23" s="325"/>
      <c r="G23" s="151">
        <v>694603</v>
      </c>
      <c r="H23" s="325"/>
      <c r="I23" s="24">
        <v>0</v>
      </c>
      <c r="J23" s="325"/>
      <c r="K23" s="151">
        <v>0</v>
      </c>
      <c r="L23" s="389">
        <v>0</v>
      </c>
      <c r="M23" s="389">
        <v>0</v>
      </c>
      <c r="N23" s="151"/>
      <c r="O23" s="389">
        <v>29981</v>
      </c>
      <c r="P23" s="49">
        <f t="shared" si="5"/>
        <v>4.9681107966871765E-5</v>
      </c>
    </row>
    <row r="24" spans="1:16" x14ac:dyDescent="0.2">
      <c r="A24" s="23">
        <v>3</v>
      </c>
      <c r="B24" s="23" t="s">
        <v>2</v>
      </c>
      <c r="C24" s="24"/>
      <c r="D24" s="389"/>
      <c r="E24" s="151"/>
      <c r="F24" s="325"/>
      <c r="G24" s="24"/>
      <c r="H24" s="325"/>
      <c r="I24" s="24"/>
      <c r="J24" s="325"/>
      <c r="K24" s="151"/>
      <c r="L24" s="389"/>
      <c r="M24" s="389"/>
      <c r="N24" s="151"/>
      <c r="O24" s="389"/>
      <c r="P24" s="49">
        <f t="shared" si="5"/>
        <v>0</v>
      </c>
    </row>
    <row r="25" spans="1:16" x14ac:dyDescent="0.2">
      <c r="A25" s="25">
        <v>4</v>
      </c>
      <c r="B25" s="23" t="s">
        <v>3</v>
      </c>
      <c r="C25" s="151">
        <v>1181107.18</v>
      </c>
      <c r="D25" s="389">
        <v>0</v>
      </c>
      <c r="E25" s="151">
        <v>27668204.640000001</v>
      </c>
      <c r="F25" s="325"/>
      <c r="G25" s="151">
        <v>15837351.640000001</v>
      </c>
      <c r="H25" s="325"/>
      <c r="I25" s="151">
        <v>0</v>
      </c>
      <c r="J25" s="325"/>
      <c r="K25" s="33">
        <v>0</v>
      </c>
      <c r="L25" s="389">
        <v>0</v>
      </c>
      <c r="M25" s="545">
        <v>0</v>
      </c>
      <c r="N25" s="546"/>
      <c r="O25" s="389">
        <v>13011960.18</v>
      </c>
      <c r="P25" s="325">
        <f t="shared" si="5"/>
        <v>1.30685492882895E-2</v>
      </c>
    </row>
    <row r="26" spans="1:16" x14ac:dyDescent="0.2">
      <c r="A26" s="59">
        <v>5</v>
      </c>
      <c r="B26" s="59" t="s">
        <v>487</v>
      </c>
      <c r="C26" s="60">
        <v>0</v>
      </c>
      <c r="D26" s="251">
        <v>0</v>
      </c>
      <c r="E26" s="60">
        <v>0</v>
      </c>
      <c r="F26" s="86"/>
      <c r="G26" s="154">
        <v>4862744</v>
      </c>
      <c r="H26" s="86"/>
      <c r="I26" s="60">
        <v>0</v>
      </c>
      <c r="J26" s="86"/>
      <c r="K26" s="201">
        <v>0</v>
      </c>
      <c r="L26" s="251">
        <v>0</v>
      </c>
      <c r="M26" s="500">
        <v>0</v>
      </c>
      <c r="N26" s="398"/>
      <c r="O26" s="403">
        <v>-4862744</v>
      </c>
      <c r="P26" s="86">
        <f t="shared" si="5"/>
        <v>-0.75068563027109925</v>
      </c>
    </row>
    <row r="27" spans="1:16" x14ac:dyDescent="0.2">
      <c r="A27" s="9"/>
      <c r="B27" s="2" t="s">
        <v>4</v>
      </c>
      <c r="C27" s="19">
        <f>SUM(C22:C26)</f>
        <v>1211197.18</v>
      </c>
      <c r="D27" s="496">
        <f>SUM(D22:D26)</f>
        <v>0</v>
      </c>
      <c r="E27" s="19">
        <f>SUM(E22:E26)</f>
        <v>55470058.460000001</v>
      </c>
      <c r="F27" s="45"/>
      <c r="G27" s="19">
        <f>SUM(G22:G26)</f>
        <v>48470058.460000001</v>
      </c>
      <c r="H27" s="45"/>
      <c r="I27" s="19">
        <f>SUM(I22:I26)</f>
        <v>0</v>
      </c>
      <c r="J27" s="45"/>
      <c r="K27" s="139">
        <f>SUM(K22:K25)</f>
        <v>0</v>
      </c>
      <c r="L27" s="139">
        <f>SUM(L22:L25)</f>
        <v>0</v>
      </c>
      <c r="M27" s="139">
        <f>SUM(M22:M25)</f>
        <v>0</v>
      </c>
      <c r="N27" s="139"/>
      <c r="O27" s="234">
        <f>+C27+D27+E27-G27+I27+K27-M27+L27</f>
        <v>8211197.1799999997</v>
      </c>
      <c r="P27" s="98">
        <f t="shared" si="5"/>
        <v>4.1135982913307959E-3</v>
      </c>
    </row>
    <row r="28" spans="1:16" x14ac:dyDescent="0.2">
      <c r="A28" s="21">
        <v>6</v>
      </c>
      <c r="B28" s="21" t="s">
        <v>5</v>
      </c>
      <c r="C28" s="22">
        <v>0</v>
      </c>
      <c r="D28" s="403">
        <v>0</v>
      </c>
      <c r="E28" s="151">
        <v>44763508.729999997</v>
      </c>
      <c r="F28" s="49"/>
      <c r="G28" s="151">
        <v>52275209.729999997</v>
      </c>
      <c r="H28" s="49"/>
      <c r="I28" s="22">
        <v>0</v>
      </c>
      <c r="J28" s="49"/>
      <c r="K28" s="201"/>
      <c r="L28" s="251">
        <v>0</v>
      </c>
      <c r="M28" s="403">
        <v>0</v>
      </c>
      <c r="N28" s="154"/>
      <c r="O28" s="389">
        <v>-7511701</v>
      </c>
      <c r="P28" s="49">
        <f t="shared" si="5"/>
        <v>-2.1333453346169057E-2</v>
      </c>
    </row>
    <row r="29" spans="1:16" x14ac:dyDescent="0.2">
      <c r="A29" s="25">
        <v>7</v>
      </c>
      <c r="B29" s="25" t="s">
        <v>6</v>
      </c>
      <c r="C29" s="26">
        <v>0</v>
      </c>
      <c r="D29" s="495">
        <v>0</v>
      </c>
      <c r="E29" s="60">
        <v>3444901</v>
      </c>
      <c r="F29" s="464"/>
      <c r="G29" s="60">
        <v>2933200</v>
      </c>
      <c r="H29" s="464"/>
      <c r="I29" s="26">
        <v>0</v>
      </c>
      <c r="J29" s="464"/>
      <c r="K29" s="26">
        <v>0</v>
      </c>
      <c r="L29" s="495">
        <v>0</v>
      </c>
      <c r="M29" s="500">
        <v>0</v>
      </c>
      <c r="N29" s="398"/>
      <c r="O29" s="389">
        <v>511701</v>
      </c>
      <c r="P29" s="308">
        <f t="shared" si="5"/>
        <v>2.3535855385500171E-2</v>
      </c>
    </row>
    <row r="30" spans="1:16" x14ac:dyDescent="0.2">
      <c r="A30" s="9"/>
      <c r="B30" s="2" t="s">
        <v>7</v>
      </c>
      <c r="C30" s="19">
        <f>SUM(C28:C29)</f>
        <v>0</v>
      </c>
      <c r="D30" s="496">
        <f>SUM(D28:D29)</f>
        <v>0</v>
      </c>
      <c r="E30" s="19">
        <f>SUM(E28:E29)</f>
        <v>48208409.729999997</v>
      </c>
      <c r="F30" s="45"/>
      <c r="G30" s="19">
        <f>SUM(G28:G29)</f>
        <v>55208409.729999997</v>
      </c>
      <c r="H30" s="45"/>
      <c r="I30" s="19">
        <f>SUM(I28:I29)</f>
        <v>0</v>
      </c>
      <c r="J30" s="45"/>
      <c r="K30" s="139">
        <f>SUM(K28:K29)</f>
        <v>0</v>
      </c>
      <c r="L30" s="139">
        <f>SUM(L28:L29)</f>
        <v>0</v>
      </c>
      <c r="M30" s="139">
        <f>SUM(M28:M29)</f>
        <v>0</v>
      </c>
      <c r="N30" s="139"/>
      <c r="O30" s="234">
        <f>+C30+D30+E30-G30+I30+K30-M30+L30</f>
        <v>-7000000</v>
      </c>
      <c r="P30" s="98">
        <f t="shared" si="5"/>
        <v>-1.8724070066860051E-2</v>
      </c>
    </row>
    <row r="31" spans="1:16" x14ac:dyDescent="0.2">
      <c r="A31" s="21">
        <v>8</v>
      </c>
      <c r="B31" s="21" t="s">
        <v>8</v>
      </c>
      <c r="C31" s="22"/>
      <c r="D31" s="403"/>
      <c r="E31" s="22"/>
      <c r="F31" s="49"/>
      <c r="G31" s="22"/>
      <c r="H31" s="49"/>
      <c r="I31" s="22"/>
      <c r="J31" s="49"/>
      <c r="K31" s="154"/>
      <c r="L31" s="403"/>
      <c r="M31" s="403"/>
      <c r="N31" s="154"/>
      <c r="O31" s="403"/>
      <c r="P31" s="49">
        <f t="shared" si="5"/>
        <v>0</v>
      </c>
    </row>
    <row r="32" spans="1:16" x14ac:dyDescent="0.2">
      <c r="A32" s="25">
        <v>9</v>
      </c>
      <c r="B32" s="25" t="s">
        <v>9</v>
      </c>
      <c r="C32" s="26"/>
      <c r="D32" s="495"/>
      <c r="E32" s="26"/>
      <c r="F32" s="464"/>
      <c r="G32" s="26"/>
      <c r="H32" s="464"/>
      <c r="I32" s="26"/>
      <c r="J32" s="464"/>
      <c r="K32" s="398"/>
      <c r="L32" s="500"/>
      <c r="M32" s="500"/>
      <c r="N32" s="35"/>
      <c r="O32" s="495"/>
      <c r="P32" s="464">
        <f t="shared" si="5"/>
        <v>0</v>
      </c>
    </row>
    <row r="33" spans="1:16" ht="13.5" thickBot="1" x14ac:dyDescent="0.25">
      <c r="A33" s="9"/>
      <c r="B33" s="2" t="s">
        <v>10</v>
      </c>
      <c r="C33" s="19">
        <f>SUM(C31:C32)</f>
        <v>0</v>
      </c>
      <c r="D33" s="496">
        <f>SUM(D31:D32)</f>
        <v>0</v>
      </c>
      <c r="E33" s="19">
        <f>SUM(E31:E32)</f>
        <v>0</v>
      </c>
      <c r="F33" s="45"/>
      <c r="G33" s="19">
        <f>SUM(G31:G32)</f>
        <v>0</v>
      </c>
      <c r="H33" s="45"/>
      <c r="I33" s="19">
        <f>SUM(I31:I32)</f>
        <v>0</v>
      </c>
      <c r="J33" s="45"/>
      <c r="K33" s="139">
        <f>SUM(K31:K32)</f>
        <v>0</v>
      </c>
      <c r="L33" s="139">
        <f>SUM(L31:L32)</f>
        <v>0</v>
      </c>
      <c r="M33" s="139">
        <f>SUM(M31:M32)</f>
        <v>0</v>
      </c>
      <c r="N33" s="139"/>
      <c r="O33" s="234">
        <f>+C33+D33+E33-G33+I33+K33-M33+N33+L33</f>
        <v>0</v>
      </c>
      <c r="P33" s="98">
        <f t="shared" si="5"/>
        <v>0</v>
      </c>
    </row>
    <row r="34" spans="1:16" ht="13.5" thickBot="1" x14ac:dyDescent="0.25">
      <c r="A34" s="5"/>
      <c r="B34" s="4" t="s">
        <v>11</v>
      </c>
      <c r="C34" s="20">
        <f>+C27+C30+C33</f>
        <v>1211197.18</v>
      </c>
      <c r="D34" s="497">
        <f>+D27+D30+D33</f>
        <v>0</v>
      </c>
      <c r="E34" s="20">
        <f>+E27+E30+E33</f>
        <v>103678468.19</v>
      </c>
      <c r="F34" s="46"/>
      <c r="G34" s="20">
        <f>+G27+G30+G33</f>
        <v>103678468.19</v>
      </c>
      <c r="H34" s="46"/>
      <c r="I34" s="20">
        <f>+I27+I30+I33</f>
        <v>0</v>
      </c>
      <c r="J34" s="46"/>
      <c r="K34" s="140">
        <f>+K27+K30+K33</f>
        <v>0</v>
      </c>
      <c r="L34" s="140">
        <f>+L27+L30+L33</f>
        <v>0</v>
      </c>
      <c r="M34" s="140">
        <f>+M27+M30+M33</f>
        <v>0</v>
      </c>
      <c r="N34" s="140"/>
      <c r="O34" s="497">
        <f>O27+O30+O33</f>
        <v>1211197.1799999997</v>
      </c>
      <c r="P34" s="46">
        <f t="shared" si="5"/>
        <v>4.748738401658508E-4</v>
      </c>
    </row>
    <row r="36" spans="1:16" x14ac:dyDescent="0.2">
      <c r="N36" s="47"/>
    </row>
  </sheetData>
  <mergeCells count="3">
    <mergeCell ref="K19:L19"/>
    <mergeCell ref="N2:O2"/>
    <mergeCell ref="E2:M2"/>
  </mergeCells>
  <pageMargins left="0.51181102362204722" right="0.51181102362204722" top="1.1417322834645669" bottom="0.74803149606299213" header="0.51181102362204722" footer="0.31496062992125984"/>
  <pageSetup paperSize="9" scale="74" orientation="landscape" r:id="rId1"/>
  <headerFooter>
    <oddHeader>&amp;L&amp;"Arial,Negreta"&amp;8&amp;K03+000Ajuntament de Barcelona&amp;C&amp;"Arial,Negreta"&amp;8&amp;K03+000Pressupost 2015
Execució Pressupostària a Febrer
&amp;R&amp;"Arial,Negreta"&amp;8&amp;K03+000Direcció de Pressupostos i Política Fiscal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P216"/>
  <sheetViews>
    <sheetView topLeftCell="A115" zoomScaleNormal="100" workbookViewId="0">
      <selection activeCell="G142" sqref="G142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1" spans="1:16" ht="15.75" thickBot="1" x14ac:dyDescent="0.3">
      <c r="A1" s="7" t="s">
        <v>239</v>
      </c>
    </row>
    <row r="2" spans="1:16" x14ac:dyDescent="0.2">
      <c r="A2" s="8" t="s">
        <v>297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85" t="s">
        <v>553</v>
      </c>
      <c r="L2" s="586"/>
      <c r="M2" s="436"/>
    </row>
    <row r="3" spans="1:16" x14ac:dyDescent="0.2">
      <c r="C3" s="176">
        <v>1</v>
      </c>
      <c r="D3" s="166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7" t="s">
        <v>41</v>
      </c>
      <c r="K3" s="166" t="s">
        <v>42</v>
      </c>
      <c r="L3" s="16" t="s">
        <v>43</v>
      </c>
      <c r="M3" s="437" t="s">
        <v>368</v>
      </c>
    </row>
    <row r="4" spans="1:16" ht="25.5" x14ac:dyDescent="0.2">
      <c r="A4" s="1"/>
      <c r="B4" s="2" t="s">
        <v>156</v>
      </c>
      <c r="C4" s="177" t="s">
        <v>13</v>
      </c>
      <c r="D4" s="127" t="s">
        <v>356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8" t="s">
        <v>550</v>
      </c>
      <c r="N4" s="62" t="s">
        <v>169</v>
      </c>
    </row>
    <row r="5" spans="1:16" ht="15" customHeight="1" x14ac:dyDescent="0.2">
      <c r="A5" s="21"/>
      <c r="B5" s="21" t="s">
        <v>240</v>
      </c>
      <c r="C5" s="213">
        <v>14925213.640000001</v>
      </c>
      <c r="D5" s="218">
        <v>15488746.26</v>
      </c>
      <c r="E5" s="272">
        <v>2286612.11</v>
      </c>
      <c r="F5" s="353">
        <f t="shared" ref="F5:F12" si="0">+E5/D5</f>
        <v>0.14763054876205325</v>
      </c>
      <c r="G5" s="272">
        <v>2286612.11</v>
      </c>
      <c r="H5" s="49">
        <f>+G5/D5</f>
        <v>0.14763054876205325</v>
      </c>
      <c r="I5" s="272">
        <v>2286612.11</v>
      </c>
      <c r="J5" s="172">
        <f>I5/D5</f>
        <v>0.14763054876205325</v>
      </c>
      <c r="K5" s="31">
        <v>2272865.5</v>
      </c>
      <c r="L5" s="53">
        <v>0.15185957592638211</v>
      </c>
      <c r="M5" s="159">
        <f>+I5/K5-1</f>
        <v>6.0481405520915743E-3</v>
      </c>
      <c r="N5" s="63">
        <v>10</v>
      </c>
    </row>
    <row r="6" spans="1:16" ht="15" customHeight="1" x14ac:dyDescent="0.2">
      <c r="A6" s="23"/>
      <c r="B6" s="23" t="s">
        <v>241</v>
      </c>
      <c r="C6" s="213">
        <v>7647590.8899999997</v>
      </c>
      <c r="D6" s="218">
        <v>7714848.4000000004</v>
      </c>
      <c r="E6" s="272">
        <v>1152567.48</v>
      </c>
      <c r="F6" s="325">
        <f t="shared" si="0"/>
        <v>0.14939599850076118</v>
      </c>
      <c r="G6" s="272">
        <v>1152567.48</v>
      </c>
      <c r="H6" s="325">
        <f t="shared" ref="H6:H61" si="1">+G6/D6</f>
        <v>0.14939599850076118</v>
      </c>
      <c r="I6" s="272">
        <v>1152567.48</v>
      </c>
      <c r="J6" s="199">
        <f t="shared" ref="J6:J61" si="2">I6/D6</f>
        <v>0.14939599850076118</v>
      </c>
      <c r="K6" s="33">
        <v>1090403.23</v>
      </c>
      <c r="L6" s="55">
        <v>0.14307238811189488</v>
      </c>
      <c r="M6" s="160">
        <f>+I6/K6-1</f>
        <v>5.701033185677562E-2</v>
      </c>
      <c r="N6" s="64">
        <v>11</v>
      </c>
    </row>
    <row r="7" spans="1:16" ht="15" customHeight="1" x14ac:dyDescent="0.2">
      <c r="A7" s="23"/>
      <c r="B7" s="23" t="s">
        <v>242</v>
      </c>
      <c r="C7" s="213">
        <v>211435284.93000001</v>
      </c>
      <c r="D7" s="218">
        <v>211792150.84999999</v>
      </c>
      <c r="E7" s="272">
        <v>29718034.789999999</v>
      </c>
      <c r="F7" s="325">
        <f t="shared" si="0"/>
        <v>0.14031697903218115</v>
      </c>
      <c r="G7" s="272">
        <v>29718034.789999999</v>
      </c>
      <c r="H7" s="325">
        <f t="shared" si="1"/>
        <v>0.14031697903218115</v>
      </c>
      <c r="I7" s="272">
        <v>29718034.789999999</v>
      </c>
      <c r="J7" s="199">
        <f t="shared" si="2"/>
        <v>0.14031697903218115</v>
      </c>
      <c r="K7" s="33">
        <v>29382003.66</v>
      </c>
      <c r="L7" s="55">
        <v>0.13902592611780651</v>
      </c>
      <c r="M7" s="160">
        <f>+I7/K7-1</f>
        <v>1.143663086726332E-2</v>
      </c>
      <c r="N7" s="64">
        <v>12</v>
      </c>
    </row>
    <row r="8" spans="1:16" ht="15" customHeight="1" x14ac:dyDescent="0.2">
      <c r="A8" s="23"/>
      <c r="B8" s="23" t="s">
        <v>243</v>
      </c>
      <c r="C8" s="213">
        <v>9078946.1799999997</v>
      </c>
      <c r="D8" s="218">
        <v>9264416.9199999999</v>
      </c>
      <c r="E8" s="272">
        <v>1326371.1399999999</v>
      </c>
      <c r="F8" s="325">
        <f>+E8/D8</f>
        <v>0.14316833444063093</v>
      </c>
      <c r="G8" s="272">
        <v>1326371.1399999999</v>
      </c>
      <c r="H8" s="325">
        <f>+G8/D8</f>
        <v>0.14316833444063093</v>
      </c>
      <c r="I8" s="272">
        <v>1326371.1399999999</v>
      </c>
      <c r="J8" s="199">
        <f>I8/D8</f>
        <v>0.14316833444063093</v>
      </c>
      <c r="K8" s="33">
        <v>1334313.6399999999</v>
      </c>
      <c r="L8" s="55">
        <v>0.14471299299228613</v>
      </c>
      <c r="M8" s="273">
        <f>+I8/K8-1</f>
        <v>-5.9524985444950884E-3</v>
      </c>
      <c r="N8" s="64">
        <v>13</v>
      </c>
    </row>
    <row r="9" spans="1:16" ht="15" customHeight="1" x14ac:dyDescent="0.2">
      <c r="A9" s="25"/>
      <c r="B9" s="25" t="s">
        <v>245</v>
      </c>
      <c r="C9" s="213">
        <v>33397253.91</v>
      </c>
      <c r="D9" s="218">
        <v>31032000.48</v>
      </c>
      <c r="E9" s="272">
        <v>2007986.84</v>
      </c>
      <c r="F9" s="325">
        <f>+E9/D9</f>
        <v>6.470697373487537E-2</v>
      </c>
      <c r="G9" s="272">
        <v>2007986.84</v>
      </c>
      <c r="H9" s="325">
        <f>+G9/D9</f>
        <v>6.470697373487537E-2</v>
      </c>
      <c r="I9" s="272">
        <v>2007986.84</v>
      </c>
      <c r="J9" s="199">
        <f>I9/D9</f>
        <v>6.470697373487537E-2</v>
      </c>
      <c r="K9" s="35">
        <v>1460789.54</v>
      </c>
      <c r="L9" s="385">
        <v>5.4126445970031183E-2</v>
      </c>
      <c r="M9" s="185">
        <f t="shared" ref="M9:M55" si="3">+I9/K9-1</f>
        <v>0.37459010009066751</v>
      </c>
      <c r="N9" s="64">
        <v>15</v>
      </c>
      <c r="O9" s="427"/>
      <c r="P9" s="427"/>
    </row>
    <row r="10" spans="1:16" ht="15" customHeight="1" x14ac:dyDescent="0.2">
      <c r="A10" s="25"/>
      <c r="B10" s="25" t="s">
        <v>244</v>
      </c>
      <c r="C10" s="213">
        <v>79302175</v>
      </c>
      <c r="D10" s="218">
        <v>80526301.640000001</v>
      </c>
      <c r="E10" s="272">
        <v>13945885.699999999</v>
      </c>
      <c r="F10" s="464">
        <f>+E10/D10</f>
        <v>0.17318423193388816</v>
      </c>
      <c r="G10" s="272">
        <v>13459907.32</v>
      </c>
      <c r="H10" s="464">
        <f>+G10/D10</f>
        <v>0.16714920523947213</v>
      </c>
      <c r="I10" s="272">
        <v>13072816.49</v>
      </c>
      <c r="J10" s="466">
        <f>I10/D10</f>
        <v>0.16234219408763101</v>
      </c>
      <c r="K10" s="35">
        <v>12947209.85</v>
      </c>
      <c r="L10" s="385">
        <v>0.16576575588746026</v>
      </c>
      <c r="M10" s="161">
        <f t="shared" si="3"/>
        <v>9.7014446707219815E-3</v>
      </c>
      <c r="N10" s="64">
        <v>16</v>
      </c>
    </row>
    <row r="11" spans="1:16" ht="15" customHeight="1" x14ac:dyDescent="0.2">
      <c r="A11" s="9"/>
      <c r="B11" s="2" t="s">
        <v>0</v>
      </c>
      <c r="C11" s="181">
        <f>SUM(C5:C10)</f>
        <v>355786464.55000001</v>
      </c>
      <c r="D11" s="171">
        <f>SUM(D5:D10)</f>
        <v>355818464.54999995</v>
      </c>
      <c r="E11" s="92">
        <f>SUM(E5:E10)</f>
        <v>50437458.060000002</v>
      </c>
      <c r="F11" s="98">
        <f t="shared" si="0"/>
        <v>0.14175053597566317</v>
      </c>
      <c r="G11" s="92">
        <f>SUM(G5:G10)</f>
        <v>49951479.68</v>
      </c>
      <c r="H11" s="98">
        <f t="shared" si="1"/>
        <v>0.14038473170068094</v>
      </c>
      <c r="I11" s="92">
        <f>SUM(I5:I10)</f>
        <v>49564388.850000001</v>
      </c>
      <c r="J11" s="190">
        <f t="shared" si="2"/>
        <v>0.1392968431604121</v>
      </c>
      <c r="K11" s="92">
        <f>SUM(K5:K10)</f>
        <v>48487585.420000002</v>
      </c>
      <c r="L11" s="44">
        <v>0.13923433304930552</v>
      </c>
      <c r="M11" s="162">
        <f t="shared" si="3"/>
        <v>2.2207817128296226E-2</v>
      </c>
      <c r="N11" s="64">
        <v>1</v>
      </c>
    </row>
    <row r="12" spans="1:16" ht="15" customHeight="1" x14ac:dyDescent="0.2">
      <c r="A12" s="21"/>
      <c r="B12" s="21" t="s">
        <v>249</v>
      </c>
      <c r="C12" s="271">
        <v>22568354.18</v>
      </c>
      <c r="D12" s="218">
        <v>22236563.079999998</v>
      </c>
      <c r="E12" s="272">
        <v>19482253.859999999</v>
      </c>
      <c r="F12" s="49">
        <f t="shared" si="0"/>
        <v>0.87613601930789031</v>
      </c>
      <c r="G12" s="272">
        <v>19240465.210000001</v>
      </c>
      <c r="H12" s="49">
        <f t="shared" si="1"/>
        <v>0.86526254712920336</v>
      </c>
      <c r="I12" s="76">
        <v>3851147.67</v>
      </c>
      <c r="J12" s="172">
        <f t="shared" si="2"/>
        <v>0.17318987903592881</v>
      </c>
      <c r="K12" s="154">
        <v>4569403.1500000004</v>
      </c>
      <c r="L12" s="53">
        <v>0.20783657712498721</v>
      </c>
      <c r="M12" s="159">
        <f t="shared" si="3"/>
        <v>-0.15718803012599147</v>
      </c>
      <c r="N12" s="63">
        <v>20</v>
      </c>
    </row>
    <row r="13" spans="1:16" ht="15" customHeight="1" x14ac:dyDescent="0.2">
      <c r="A13" s="270"/>
      <c r="B13" s="270" t="s">
        <v>250</v>
      </c>
      <c r="C13" s="271">
        <v>18088653.18</v>
      </c>
      <c r="D13" s="218">
        <v>17849173.98</v>
      </c>
      <c r="E13" s="272">
        <v>14708075.310000001</v>
      </c>
      <c r="F13" s="503">
        <f t="shared" ref="F13:F55" si="4">+E13/D13</f>
        <v>0.82401994212619578</v>
      </c>
      <c r="G13" s="272">
        <v>12998667.17</v>
      </c>
      <c r="H13" s="503">
        <f t="shared" si="1"/>
        <v>0.7282503484231263</v>
      </c>
      <c r="I13" s="76">
        <v>221261.24</v>
      </c>
      <c r="J13" s="518">
        <f t="shared" si="2"/>
        <v>1.2396161315247596E-2</v>
      </c>
      <c r="K13" s="154">
        <v>473999.95</v>
      </c>
      <c r="L13" s="404">
        <v>3.4919876052314169E-2</v>
      </c>
      <c r="M13" s="273">
        <f t="shared" si="3"/>
        <v>-0.53320408578102174</v>
      </c>
      <c r="N13" s="63">
        <v>21</v>
      </c>
    </row>
    <row r="14" spans="1:16" ht="15" customHeight="1" x14ac:dyDescent="0.2">
      <c r="A14" s="65"/>
      <c r="B14" s="65" t="s">
        <v>251</v>
      </c>
      <c r="C14" s="214">
        <v>1505977.68</v>
      </c>
      <c r="D14" s="219">
        <v>1507724.49</v>
      </c>
      <c r="E14" s="78">
        <v>907425.5</v>
      </c>
      <c r="F14" s="504">
        <f t="shared" si="4"/>
        <v>0.60185100528545499</v>
      </c>
      <c r="G14" s="78">
        <v>479652.25</v>
      </c>
      <c r="H14" s="504">
        <f t="shared" si="1"/>
        <v>0.31812990581588285</v>
      </c>
      <c r="I14" s="78">
        <v>88433.09</v>
      </c>
      <c r="J14" s="519">
        <f t="shared" si="2"/>
        <v>5.8653348530539551E-2</v>
      </c>
      <c r="K14" s="66">
        <v>231062.67</v>
      </c>
      <c r="L14" s="417">
        <v>0.15609303921248141</v>
      </c>
      <c r="M14" s="184">
        <f t="shared" si="3"/>
        <v>-0.61727660292335407</v>
      </c>
      <c r="N14" s="63">
        <v>220</v>
      </c>
    </row>
    <row r="15" spans="1:16" ht="15" customHeight="1" x14ac:dyDescent="0.2">
      <c r="A15" s="73"/>
      <c r="B15" s="73" t="s">
        <v>253</v>
      </c>
      <c r="C15" s="215">
        <v>10857573.289999999</v>
      </c>
      <c r="D15" s="220">
        <v>10878218.34</v>
      </c>
      <c r="E15" s="90">
        <v>10797164.93</v>
      </c>
      <c r="F15" s="505">
        <f t="shared" si="4"/>
        <v>0.99254901791206374</v>
      </c>
      <c r="G15" s="90">
        <v>10700767.220000001</v>
      </c>
      <c r="H15" s="505">
        <f t="shared" si="1"/>
        <v>0.98368748314717136</v>
      </c>
      <c r="I15" s="90">
        <v>4275.8</v>
      </c>
      <c r="J15" s="520">
        <f t="shared" si="2"/>
        <v>3.9306068938491269E-4</v>
      </c>
      <c r="K15" s="74">
        <v>7834.38</v>
      </c>
      <c r="L15" s="79">
        <v>6.8013149073391493E-4</v>
      </c>
      <c r="M15" s="547">
        <f t="shared" si="3"/>
        <v>-0.45422611617000963</v>
      </c>
      <c r="N15" s="63">
        <v>22100</v>
      </c>
    </row>
    <row r="16" spans="1:16" ht="15" customHeight="1" x14ac:dyDescent="0.2">
      <c r="A16" s="75"/>
      <c r="B16" s="75" t="s">
        <v>255</v>
      </c>
      <c r="C16" s="271">
        <v>1153400</v>
      </c>
      <c r="D16" s="218">
        <v>1158400</v>
      </c>
      <c r="E16" s="272">
        <v>1003521.8</v>
      </c>
      <c r="F16" s="148">
        <f>+E16/D16</f>
        <v>0.86629989640883986</v>
      </c>
      <c r="G16" s="272">
        <v>949492.63</v>
      </c>
      <c r="H16" s="148">
        <f>+G16/D16</f>
        <v>0.81965869302486183</v>
      </c>
      <c r="I16" s="76">
        <v>6092.63</v>
      </c>
      <c r="J16" s="224">
        <f>I16/D16</f>
        <v>5.2595217541436465E-3</v>
      </c>
      <c r="K16" s="76">
        <v>93239.29</v>
      </c>
      <c r="L16" s="80">
        <v>8.6099340335886759E-2</v>
      </c>
      <c r="M16" s="160">
        <f t="shared" si="3"/>
        <v>-0.93465598032760655</v>
      </c>
      <c r="N16" s="63">
        <v>22101</v>
      </c>
    </row>
    <row r="17" spans="1:14" ht="15" customHeight="1" x14ac:dyDescent="0.2">
      <c r="A17" s="75"/>
      <c r="B17" s="75" t="s">
        <v>254</v>
      </c>
      <c r="C17" s="271">
        <v>20646455.879999999</v>
      </c>
      <c r="D17" s="220">
        <v>19815380.879999999</v>
      </c>
      <c r="E17" s="272">
        <v>13583019</v>
      </c>
      <c r="F17" s="148">
        <f>+E17/D17</f>
        <v>0.68547857254207878</v>
      </c>
      <c r="G17" s="272">
        <v>13583019</v>
      </c>
      <c r="H17" s="148">
        <f>+G17/D17</f>
        <v>0.68547857254207878</v>
      </c>
      <c r="I17" s="76">
        <v>740561.61</v>
      </c>
      <c r="J17" s="224">
        <f>I17/D17</f>
        <v>3.7373069661631453E-2</v>
      </c>
      <c r="K17" s="76">
        <v>1827543.06</v>
      </c>
      <c r="L17" s="80">
        <v>0.11796257651562288</v>
      </c>
      <c r="M17" s="185">
        <f t="shared" si="3"/>
        <v>-0.59477747681633286</v>
      </c>
      <c r="N17" s="63">
        <v>22120</v>
      </c>
    </row>
    <row r="18" spans="1:14" ht="15" customHeight="1" x14ac:dyDescent="0.2">
      <c r="A18" s="75"/>
      <c r="B18" s="75" t="s">
        <v>256</v>
      </c>
      <c r="C18" s="271">
        <v>556922.39</v>
      </c>
      <c r="D18" s="220">
        <v>557222.39</v>
      </c>
      <c r="E18" s="272">
        <v>74601.84</v>
      </c>
      <c r="F18" s="148">
        <f>+E18/D18</f>
        <v>0.13388162668768566</v>
      </c>
      <c r="G18" s="272">
        <v>74601.84</v>
      </c>
      <c r="H18" s="148">
        <f>+G18/D18</f>
        <v>0.13388162668768566</v>
      </c>
      <c r="I18" s="76">
        <v>0</v>
      </c>
      <c r="J18" s="224" t="s">
        <v>135</v>
      </c>
      <c r="K18" s="76">
        <v>0</v>
      </c>
      <c r="L18" s="80" t="s">
        <v>135</v>
      </c>
      <c r="M18" s="160" t="s">
        <v>135</v>
      </c>
      <c r="N18" s="63">
        <v>22121</v>
      </c>
    </row>
    <row r="19" spans="1:14" ht="15" customHeight="1" x14ac:dyDescent="0.2">
      <c r="A19" s="75"/>
      <c r="B19" s="75" t="s">
        <v>252</v>
      </c>
      <c r="C19" s="271">
        <v>1124173.03</v>
      </c>
      <c r="D19" s="220">
        <v>1124173.03</v>
      </c>
      <c r="E19" s="272">
        <v>1114853.21</v>
      </c>
      <c r="F19" s="148">
        <f t="shared" si="4"/>
        <v>0.99170962142722807</v>
      </c>
      <c r="G19" s="272">
        <v>1114853.21</v>
      </c>
      <c r="H19" s="148">
        <f t="shared" si="1"/>
        <v>0.99170962142722807</v>
      </c>
      <c r="I19" s="76">
        <v>0</v>
      </c>
      <c r="J19" s="224" t="s">
        <v>135</v>
      </c>
      <c r="K19" s="76">
        <v>0</v>
      </c>
      <c r="L19" s="80" t="s">
        <v>135</v>
      </c>
      <c r="M19" s="185" t="s">
        <v>135</v>
      </c>
      <c r="N19" s="64" t="s">
        <v>257</v>
      </c>
    </row>
    <row r="20" spans="1:14" ht="15" customHeight="1" x14ac:dyDescent="0.2">
      <c r="A20" s="77"/>
      <c r="B20" s="77" t="s">
        <v>258</v>
      </c>
      <c r="C20" s="214">
        <v>5399766.2199999997</v>
      </c>
      <c r="D20" s="219">
        <v>5243542.38</v>
      </c>
      <c r="E20" s="272">
        <v>3867012.94</v>
      </c>
      <c r="F20" s="504">
        <f t="shared" si="4"/>
        <v>0.73748101183459869</v>
      </c>
      <c r="G20" s="272">
        <v>2561042.0299999998</v>
      </c>
      <c r="H20" s="504">
        <f t="shared" si="1"/>
        <v>0.48841829519074087</v>
      </c>
      <c r="I20" s="78">
        <v>172492.31999999998</v>
      </c>
      <c r="J20" s="521">
        <f t="shared" si="2"/>
        <v>3.2896143007811442E-2</v>
      </c>
      <c r="K20" s="78">
        <v>128995.59000000008</v>
      </c>
      <c r="L20" s="81">
        <v>2.461160214218544E-2</v>
      </c>
      <c r="M20" s="209">
        <f t="shared" si="3"/>
        <v>0.33719548086876361</v>
      </c>
      <c r="N20" s="64" t="s">
        <v>259</v>
      </c>
    </row>
    <row r="21" spans="1:14" ht="15" customHeight="1" x14ac:dyDescent="0.2">
      <c r="A21" s="73"/>
      <c r="B21" s="73" t="s">
        <v>260</v>
      </c>
      <c r="C21" s="215">
        <v>3726957.63</v>
      </c>
      <c r="D21" s="218">
        <v>3676957.63</v>
      </c>
      <c r="E21" s="74">
        <v>2262772.1</v>
      </c>
      <c r="F21" s="506">
        <f t="shared" si="4"/>
        <v>0.61539248685876213</v>
      </c>
      <c r="G21" s="74">
        <v>2237772.1</v>
      </c>
      <c r="H21" s="506">
        <f t="shared" si="1"/>
        <v>0.60859338757188786</v>
      </c>
      <c r="I21" s="74">
        <v>218045.16</v>
      </c>
      <c r="J21" s="522">
        <f t="shared" si="2"/>
        <v>5.930042767449567E-2</v>
      </c>
      <c r="K21" s="74">
        <v>480487.48</v>
      </c>
      <c r="L21" s="79">
        <v>0.12808431501811676</v>
      </c>
      <c r="M21" s="549">
        <f t="shared" si="3"/>
        <v>-0.54620012159317866</v>
      </c>
      <c r="N21" s="63">
        <v>22200</v>
      </c>
    </row>
    <row r="22" spans="1:14" ht="15" customHeight="1" x14ac:dyDescent="0.2">
      <c r="A22" s="77"/>
      <c r="B22" s="77" t="s">
        <v>261</v>
      </c>
      <c r="C22" s="214">
        <v>823380.51</v>
      </c>
      <c r="D22" s="219">
        <v>1059109.1000000001</v>
      </c>
      <c r="E22" s="78">
        <v>919312.44</v>
      </c>
      <c r="F22" s="504">
        <f t="shared" si="4"/>
        <v>0.86800542078242915</v>
      </c>
      <c r="G22" s="78">
        <v>787000.28</v>
      </c>
      <c r="H22" s="504">
        <f t="shared" si="1"/>
        <v>0.74307763005718674</v>
      </c>
      <c r="I22" s="78">
        <v>19732.899999999998</v>
      </c>
      <c r="J22" s="521">
        <f t="shared" si="2"/>
        <v>1.8631602731012317E-2</v>
      </c>
      <c r="K22" s="78">
        <v>28395.390000000014</v>
      </c>
      <c r="L22" s="81">
        <v>3.242120160582708E-2</v>
      </c>
      <c r="M22" s="549">
        <f t="shared" si="3"/>
        <v>-0.30506677316282715</v>
      </c>
      <c r="N22" s="64" t="s">
        <v>262</v>
      </c>
    </row>
    <row r="23" spans="1:14" ht="15" customHeight="1" x14ac:dyDescent="0.2">
      <c r="A23" s="73"/>
      <c r="B23" s="73" t="s">
        <v>263</v>
      </c>
      <c r="C23" s="215">
        <v>622330.44999999995</v>
      </c>
      <c r="D23" s="192">
        <v>622183.84</v>
      </c>
      <c r="E23" s="90">
        <v>416611.89</v>
      </c>
      <c r="F23" s="505">
        <f t="shared" si="4"/>
        <v>0.66959612772970778</v>
      </c>
      <c r="G23" s="90">
        <v>275164.49</v>
      </c>
      <c r="H23" s="505">
        <f t="shared" si="1"/>
        <v>0.44225592551551968</v>
      </c>
      <c r="I23" s="90">
        <v>39059.93</v>
      </c>
      <c r="J23" s="520">
        <f t="shared" si="2"/>
        <v>6.2778760052655827E-2</v>
      </c>
      <c r="K23" s="74">
        <v>34554.730000000003</v>
      </c>
      <c r="L23" s="79">
        <v>6.3534093013719636E-2</v>
      </c>
      <c r="M23" s="551">
        <f t="shared" ref="M23:M25" si="5">+I23/K23-1</f>
        <v>0.13037867753560795</v>
      </c>
      <c r="N23" s="63">
        <v>223</v>
      </c>
    </row>
    <row r="24" spans="1:14" ht="15" customHeight="1" x14ac:dyDescent="0.2">
      <c r="A24" s="75"/>
      <c r="B24" s="75" t="s">
        <v>264</v>
      </c>
      <c r="C24" s="215">
        <v>2466584.48</v>
      </c>
      <c r="D24" s="476">
        <v>2466584.48</v>
      </c>
      <c r="E24" s="272">
        <v>2239309.04</v>
      </c>
      <c r="F24" s="148">
        <f t="shared" si="4"/>
        <v>0.90785823804421251</v>
      </c>
      <c r="G24" s="90">
        <v>2239308.96</v>
      </c>
      <c r="H24" s="148">
        <f t="shared" si="1"/>
        <v>0.90785820561069941</v>
      </c>
      <c r="I24" s="90">
        <v>0</v>
      </c>
      <c r="J24" s="224" t="s">
        <v>135</v>
      </c>
      <c r="K24" s="76">
        <v>0</v>
      </c>
      <c r="L24" s="80">
        <v>0</v>
      </c>
      <c r="M24" s="552" t="s">
        <v>135</v>
      </c>
      <c r="N24" s="63">
        <v>224</v>
      </c>
    </row>
    <row r="25" spans="1:14" ht="15" customHeight="1" x14ac:dyDescent="0.2">
      <c r="A25" s="77"/>
      <c r="B25" s="77" t="s">
        <v>265</v>
      </c>
      <c r="C25" s="214">
        <v>844814.86</v>
      </c>
      <c r="D25" s="187">
        <v>604959.52</v>
      </c>
      <c r="E25" s="78">
        <v>20144.66</v>
      </c>
      <c r="F25" s="504">
        <f t="shared" si="4"/>
        <v>3.329918669599579E-2</v>
      </c>
      <c r="G25" s="66">
        <v>20144.66</v>
      </c>
      <c r="H25" s="504">
        <f t="shared" si="1"/>
        <v>3.329918669599579E-2</v>
      </c>
      <c r="I25" s="66">
        <v>20144.66</v>
      </c>
      <c r="J25" s="521">
        <f t="shared" si="2"/>
        <v>3.329918669599579E-2</v>
      </c>
      <c r="K25" s="78">
        <v>19.02</v>
      </c>
      <c r="L25" s="81">
        <v>2.9805885176729387E-5</v>
      </c>
      <c r="M25" s="548" t="s">
        <v>135</v>
      </c>
      <c r="N25" s="63">
        <v>225</v>
      </c>
    </row>
    <row r="26" spans="1:14" ht="15" customHeight="1" x14ac:dyDescent="0.2">
      <c r="A26" s="73"/>
      <c r="B26" s="73" t="s">
        <v>267</v>
      </c>
      <c r="C26" s="215">
        <v>1326385.93</v>
      </c>
      <c r="D26" s="218">
        <v>1159954.3500000001</v>
      </c>
      <c r="E26" s="90">
        <v>752757.58</v>
      </c>
      <c r="F26" s="506">
        <f t="shared" si="4"/>
        <v>0.64895448687269452</v>
      </c>
      <c r="G26" s="90">
        <v>42274.48</v>
      </c>
      <c r="H26" s="506">
        <f t="shared" si="1"/>
        <v>3.6444951475892134E-2</v>
      </c>
      <c r="I26" s="90">
        <v>42274.48</v>
      </c>
      <c r="J26" s="520">
        <f t="shared" si="2"/>
        <v>3.6444951475892134E-2</v>
      </c>
      <c r="K26" s="74">
        <v>28100.36</v>
      </c>
      <c r="L26" s="79">
        <v>2.1638903385228305E-2</v>
      </c>
      <c r="M26" s="550">
        <f t="shared" si="3"/>
        <v>0.50441061965042455</v>
      </c>
      <c r="N26" s="63">
        <v>22601</v>
      </c>
    </row>
    <row r="27" spans="1:14" ht="15" customHeight="1" x14ac:dyDescent="0.2">
      <c r="A27" s="75"/>
      <c r="B27" s="75" t="s">
        <v>266</v>
      </c>
      <c r="C27" s="215">
        <v>13040585.99</v>
      </c>
      <c r="D27" s="218">
        <v>12387646.369999999</v>
      </c>
      <c r="E27" s="90">
        <v>9534994.1099999994</v>
      </c>
      <c r="F27" s="148">
        <f t="shared" si="4"/>
        <v>0.76971797750794202</v>
      </c>
      <c r="G27" s="90">
        <v>8474077.5500000007</v>
      </c>
      <c r="H27" s="148">
        <f t="shared" si="1"/>
        <v>0.68407486756501601</v>
      </c>
      <c r="I27" s="90">
        <v>392877.53</v>
      </c>
      <c r="J27" s="224">
        <f t="shared" si="2"/>
        <v>3.1715268442878551E-2</v>
      </c>
      <c r="K27" s="76">
        <v>304991.86</v>
      </c>
      <c r="L27" s="80">
        <v>2.5043303326210256E-2</v>
      </c>
      <c r="M27" s="160">
        <f t="shared" si="3"/>
        <v>0.28815742820152668</v>
      </c>
      <c r="N27" s="63">
        <v>22602</v>
      </c>
    </row>
    <row r="28" spans="1:14" ht="15" customHeight="1" x14ac:dyDescent="0.2">
      <c r="A28" s="75"/>
      <c r="B28" s="75" t="s">
        <v>268</v>
      </c>
      <c r="C28" s="215">
        <v>643129.06000000006</v>
      </c>
      <c r="D28" s="476">
        <v>705471.81</v>
      </c>
      <c r="E28" s="272">
        <v>386926.36</v>
      </c>
      <c r="F28" s="148">
        <f t="shared" si="4"/>
        <v>0.54846466508704284</v>
      </c>
      <c r="G28" s="90">
        <v>47457.64</v>
      </c>
      <c r="H28" s="148">
        <f t="shared" si="1"/>
        <v>6.7270781521376444E-2</v>
      </c>
      <c r="I28" s="90">
        <v>30094.14</v>
      </c>
      <c r="J28" s="224">
        <f t="shared" si="2"/>
        <v>4.2658175101284342E-2</v>
      </c>
      <c r="K28" s="76">
        <v>9051.7199999999993</v>
      </c>
      <c r="L28" s="80">
        <v>1.7114537708556084E-2</v>
      </c>
      <c r="M28" s="206">
        <f t="shared" si="3"/>
        <v>2.3246874627142686</v>
      </c>
      <c r="N28" s="63">
        <v>22606</v>
      </c>
    </row>
    <row r="29" spans="1:14" ht="15" customHeight="1" x14ac:dyDescent="0.2">
      <c r="A29" s="75"/>
      <c r="B29" s="75" t="s">
        <v>269</v>
      </c>
      <c r="C29" s="215">
        <v>17342647.079999998</v>
      </c>
      <c r="D29" s="476">
        <v>21075919.949999999</v>
      </c>
      <c r="E29" s="272">
        <v>13197536.49</v>
      </c>
      <c r="F29" s="148">
        <f t="shared" si="4"/>
        <v>0.62619029306001894</v>
      </c>
      <c r="G29" s="90">
        <v>4343631.4000000004</v>
      </c>
      <c r="H29" s="148">
        <f t="shared" si="1"/>
        <v>0.20609451024224451</v>
      </c>
      <c r="I29" s="90">
        <v>616964.31999999995</v>
      </c>
      <c r="J29" s="224">
        <f t="shared" si="2"/>
        <v>2.9273423008991831E-2</v>
      </c>
      <c r="K29" s="76">
        <v>502378.84</v>
      </c>
      <c r="L29" s="80">
        <v>2.863220195388369E-2</v>
      </c>
      <c r="M29" s="204">
        <f t="shared" si="3"/>
        <v>0.22808580074749951</v>
      </c>
      <c r="N29" s="63">
        <v>22610</v>
      </c>
    </row>
    <row r="30" spans="1:14" ht="15" customHeight="1" x14ac:dyDescent="0.2">
      <c r="A30" s="77"/>
      <c r="B30" s="77" t="s">
        <v>270</v>
      </c>
      <c r="C30" s="214">
        <v>16396084.01</v>
      </c>
      <c r="D30" s="187">
        <v>17896513.719999999</v>
      </c>
      <c r="E30" s="78">
        <v>1759417.45</v>
      </c>
      <c r="F30" s="504">
        <f t="shared" si="4"/>
        <v>9.8310625048373956E-2</v>
      </c>
      <c r="G30" s="66">
        <v>667190.06999999995</v>
      </c>
      <c r="H30" s="504">
        <f t="shared" si="1"/>
        <v>3.7280449166721838E-2</v>
      </c>
      <c r="I30" s="66">
        <v>148668.31</v>
      </c>
      <c r="J30" s="521">
        <f t="shared" si="2"/>
        <v>8.3071101068057634E-3</v>
      </c>
      <c r="K30" s="78">
        <v>132212.65000000008</v>
      </c>
      <c r="L30" s="81">
        <v>2.0467954981854431E-2</v>
      </c>
      <c r="M30" s="205">
        <f t="shared" si="3"/>
        <v>0.12446358196435736</v>
      </c>
      <c r="N30" s="64" t="s">
        <v>271</v>
      </c>
    </row>
    <row r="31" spans="1:14" ht="15" customHeight="1" x14ac:dyDescent="0.2">
      <c r="A31" s="73"/>
      <c r="B31" s="73" t="s">
        <v>272</v>
      </c>
      <c r="C31" s="213">
        <v>11908878.640000001</v>
      </c>
      <c r="D31" s="218">
        <v>11908878.640000001</v>
      </c>
      <c r="E31" s="76">
        <v>4391186.76</v>
      </c>
      <c r="F31" s="505">
        <f t="shared" si="4"/>
        <v>0.36873217812890563</v>
      </c>
      <c r="G31" s="76">
        <v>4356186.76</v>
      </c>
      <c r="H31" s="148">
        <f t="shared" si="1"/>
        <v>0.36579319444639158</v>
      </c>
      <c r="I31" s="76">
        <v>720285.55</v>
      </c>
      <c r="J31" s="520">
        <f t="shared" si="2"/>
        <v>6.048307080573289E-2</v>
      </c>
      <c r="K31" s="74">
        <v>851383.94</v>
      </c>
      <c r="L31" s="79">
        <v>7.4159809797004192E-2</v>
      </c>
      <c r="M31" s="553">
        <f t="shared" si="3"/>
        <v>-0.15398269081749405</v>
      </c>
      <c r="N31" s="63">
        <v>22700</v>
      </c>
    </row>
    <row r="32" spans="1:14" ht="15" customHeight="1" x14ac:dyDescent="0.2">
      <c r="A32" s="75"/>
      <c r="B32" s="75" t="s">
        <v>273</v>
      </c>
      <c r="C32" s="213">
        <v>2874262.5</v>
      </c>
      <c r="D32" s="218">
        <v>3505336.87</v>
      </c>
      <c r="E32" s="76">
        <v>2159071.4300000002</v>
      </c>
      <c r="F32" s="148">
        <f t="shared" si="4"/>
        <v>0.61593835630411187</v>
      </c>
      <c r="G32" s="76">
        <v>801633.54</v>
      </c>
      <c r="H32" s="148">
        <f t="shared" si="1"/>
        <v>0.22868944404764158</v>
      </c>
      <c r="I32" s="76">
        <v>40719.629999999997</v>
      </c>
      <c r="J32" s="224">
        <f t="shared" si="2"/>
        <v>1.1616466978821353E-2</v>
      </c>
      <c r="K32" s="76">
        <v>23955.759999999998</v>
      </c>
      <c r="L32" s="80">
        <v>8.8037465086838202E-3</v>
      </c>
      <c r="M32" s="160">
        <f t="shared" si="3"/>
        <v>0.69978451946421227</v>
      </c>
      <c r="N32" s="63">
        <v>22703</v>
      </c>
    </row>
    <row r="33" spans="1:14" ht="15" customHeight="1" x14ac:dyDescent="0.2">
      <c r="A33" s="75"/>
      <c r="B33" s="75" t="s">
        <v>274</v>
      </c>
      <c r="C33" s="213">
        <v>2461274.11</v>
      </c>
      <c r="D33" s="218">
        <v>2402027.08</v>
      </c>
      <c r="E33" s="76">
        <v>938139</v>
      </c>
      <c r="F33" s="148">
        <f t="shared" si="4"/>
        <v>0.39056137535302055</v>
      </c>
      <c r="G33" s="76">
        <v>773746.57</v>
      </c>
      <c r="H33" s="148">
        <f t="shared" si="1"/>
        <v>0.32212233427443288</v>
      </c>
      <c r="I33" s="76">
        <v>20489.599999999999</v>
      </c>
      <c r="J33" s="224">
        <f t="shared" si="2"/>
        <v>8.5301286445113676E-3</v>
      </c>
      <c r="K33" s="76">
        <v>4372.8500000000004</v>
      </c>
      <c r="L33" s="80">
        <v>1.8327984672601718E-3</v>
      </c>
      <c r="M33" s="160">
        <f t="shared" si="3"/>
        <v>3.6856398001303488</v>
      </c>
      <c r="N33" s="63" t="s">
        <v>275</v>
      </c>
    </row>
    <row r="34" spans="1:14" ht="15" customHeight="1" x14ac:dyDescent="0.2">
      <c r="A34" s="75"/>
      <c r="B34" s="75" t="s">
        <v>276</v>
      </c>
      <c r="C34" s="213">
        <v>3735000</v>
      </c>
      <c r="D34" s="218">
        <v>3735000</v>
      </c>
      <c r="E34" s="76">
        <v>919094.18</v>
      </c>
      <c r="F34" s="148">
        <f t="shared" si="4"/>
        <v>0.2460760856760375</v>
      </c>
      <c r="G34" s="76">
        <v>919094.18</v>
      </c>
      <c r="H34" s="148">
        <f t="shared" si="1"/>
        <v>0.2460760856760375</v>
      </c>
      <c r="I34" s="76">
        <v>139649.49</v>
      </c>
      <c r="J34" s="224">
        <f t="shared" si="2"/>
        <v>3.7389421686746985E-2</v>
      </c>
      <c r="K34" s="76">
        <v>158379.5</v>
      </c>
      <c r="L34" s="80">
        <v>3.963203002815139E-2</v>
      </c>
      <c r="M34" s="206">
        <f t="shared" si="3"/>
        <v>-0.11826031778102597</v>
      </c>
      <c r="N34" s="64">
        <v>22708</v>
      </c>
    </row>
    <row r="35" spans="1:14" ht="15" customHeight="1" x14ac:dyDescent="0.2">
      <c r="A35" s="75"/>
      <c r="B35" s="75" t="s">
        <v>277</v>
      </c>
      <c r="C35" s="213">
        <v>15900827.689999999</v>
      </c>
      <c r="D35" s="218">
        <v>15937529.880000001</v>
      </c>
      <c r="E35" s="76">
        <v>14976844.529999999</v>
      </c>
      <c r="F35" s="148">
        <f t="shared" si="4"/>
        <v>0.93972181654036835</v>
      </c>
      <c r="G35" s="76">
        <v>14976844.529999999</v>
      </c>
      <c r="H35" s="148">
        <f t="shared" si="1"/>
        <v>0.93972181654036835</v>
      </c>
      <c r="I35" s="76">
        <v>501934.41</v>
      </c>
      <c r="J35" s="224">
        <f t="shared" si="2"/>
        <v>3.1493864719267274E-2</v>
      </c>
      <c r="K35" s="76">
        <v>678789.31</v>
      </c>
      <c r="L35" s="80">
        <v>5.2536915403488184E-2</v>
      </c>
      <c r="M35" s="204">
        <f t="shared" si="3"/>
        <v>-0.26054461582490163</v>
      </c>
      <c r="N35" s="63">
        <v>22712</v>
      </c>
    </row>
    <row r="36" spans="1:14" ht="15" customHeight="1" x14ac:dyDescent="0.2">
      <c r="A36" s="75"/>
      <c r="B36" s="75" t="s">
        <v>278</v>
      </c>
      <c r="C36" s="213">
        <v>11600000</v>
      </c>
      <c r="D36" s="218">
        <v>13510036.43</v>
      </c>
      <c r="E36" s="76">
        <v>13510036.43</v>
      </c>
      <c r="F36" s="148" t="s">
        <v>135</v>
      </c>
      <c r="G36" s="76">
        <v>13510036.43</v>
      </c>
      <c r="H36" s="148" t="s">
        <v>135</v>
      </c>
      <c r="I36" s="76">
        <v>0</v>
      </c>
      <c r="J36" s="224" t="s">
        <v>135</v>
      </c>
      <c r="K36" s="76"/>
      <c r="L36" s="80" t="s">
        <v>135</v>
      </c>
      <c r="M36" s="204" t="s">
        <v>135</v>
      </c>
      <c r="N36" s="63">
        <v>22714</v>
      </c>
    </row>
    <row r="37" spans="1:14" ht="15" customHeight="1" x14ac:dyDescent="0.2">
      <c r="A37" s="75"/>
      <c r="B37" s="75" t="s">
        <v>279</v>
      </c>
      <c r="C37" s="213"/>
      <c r="D37" s="218"/>
      <c r="E37" s="76"/>
      <c r="F37" s="148"/>
      <c r="G37" s="76"/>
      <c r="H37" s="148"/>
      <c r="I37" s="76"/>
      <c r="J37" s="224"/>
      <c r="K37" s="76"/>
      <c r="L37" s="80" t="s">
        <v>135</v>
      </c>
      <c r="M37" s="204" t="s">
        <v>135</v>
      </c>
      <c r="N37" s="63">
        <v>22715</v>
      </c>
    </row>
    <row r="38" spans="1:14" ht="15" customHeight="1" x14ac:dyDescent="0.2">
      <c r="A38" s="75"/>
      <c r="B38" s="75" t="s">
        <v>280</v>
      </c>
      <c r="C38" s="213">
        <v>13595150.939999999</v>
      </c>
      <c r="D38" s="218">
        <v>13531884.439999999</v>
      </c>
      <c r="E38" s="76">
        <v>13293025.49</v>
      </c>
      <c r="F38" s="148">
        <f t="shared" si="4"/>
        <v>0.98234843409585015</v>
      </c>
      <c r="G38" s="76">
        <v>13293025.49</v>
      </c>
      <c r="H38" s="148">
        <f t="shared" si="1"/>
        <v>0.98234843409585015</v>
      </c>
      <c r="I38" s="76">
        <v>257408.73</v>
      </c>
      <c r="J38" s="224">
        <f t="shared" si="2"/>
        <v>1.902238606465664E-2</v>
      </c>
      <c r="K38" s="76">
        <v>446438.31</v>
      </c>
      <c r="L38" s="80">
        <v>3.2923461383826111E-2</v>
      </c>
      <c r="M38" s="204">
        <f t="shared" si="3"/>
        <v>-0.42341702261170189</v>
      </c>
      <c r="N38" s="63">
        <v>22716</v>
      </c>
    </row>
    <row r="39" spans="1:14" ht="15" customHeight="1" x14ac:dyDescent="0.2">
      <c r="A39" s="75"/>
      <c r="B39" s="75" t="s">
        <v>488</v>
      </c>
      <c r="C39" s="213">
        <v>209726</v>
      </c>
      <c r="D39" s="218">
        <v>259495.19</v>
      </c>
      <c r="E39" s="76">
        <v>196444.27</v>
      </c>
      <c r="F39" s="148">
        <f t="shared" si="4"/>
        <v>0.75702470631536556</v>
      </c>
      <c r="G39" s="76">
        <v>196444.27</v>
      </c>
      <c r="H39" s="148">
        <f t="shared" si="1"/>
        <v>0.75702470631536556</v>
      </c>
      <c r="I39" s="76">
        <v>7918.89</v>
      </c>
      <c r="J39" s="224">
        <f t="shared" si="2"/>
        <v>3.0516519400610086E-2</v>
      </c>
      <c r="K39" s="76">
        <v>17025.310000000001</v>
      </c>
      <c r="L39" s="80"/>
      <c r="M39" s="204">
        <f t="shared" si="3"/>
        <v>-0.53487542958101786</v>
      </c>
      <c r="N39" s="63" t="s">
        <v>489</v>
      </c>
    </row>
    <row r="40" spans="1:14" ht="15" customHeight="1" x14ac:dyDescent="0.2">
      <c r="A40" s="75"/>
      <c r="B40" s="75" t="s">
        <v>490</v>
      </c>
      <c r="C40" s="213">
        <v>120000.38</v>
      </c>
      <c r="D40" s="218">
        <v>125362.31</v>
      </c>
      <c r="E40" s="76">
        <v>125362.31</v>
      </c>
      <c r="F40" s="148">
        <f t="shared" si="4"/>
        <v>1</v>
      </c>
      <c r="G40" s="76">
        <v>125362.31</v>
      </c>
      <c r="H40" s="148">
        <f t="shared" si="1"/>
        <v>1</v>
      </c>
      <c r="I40" s="76">
        <v>47380.66</v>
      </c>
      <c r="J40" s="224">
        <f t="shared" si="2"/>
        <v>0.37794980006351192</v>
      </c>
      <c r="K40" s="76">
        <v>0</v>
      </c>
      <c r="L40" s="80">
        <v>0</v>
      </c>
      <c r="M40" s="204" t="s">
        <v>135</v>
      </c>
      <c r="N40" s="63" t="s">
        <v>491</v>
      </c>
    </row>
    <row r="41" spans="1:14" ht="15" customHeight="1" x14ac:dyDescent="0.2">
      <c r="A41" s="75"/>
      <c r="B41" s="75" t="s">
        <v>286</v>
      </c>
      <c r="C41" s="213">
        <v>63029764.009999998</v>
      </c>
      <c r="D41" s="218">
        <v>59377005.219999999</v>
      </c>
      <c r="E41" s="76">
        <v>47692513.299999997</v>
      </c>
      <c r="F41" s="148">
        <f t="shared" ref="F41:F51" si="6">+E41/D41</f>
        <v>0.80321520297786408</v>
      </c>
      <c r="G41" s="76">
        <v>44330128.649999999</v>
      </c>
      <c r="H41" s="148">
        <f t="shared" ref="H41:H51" si="7">+G41/D41</f>
        <v>0.74658747920597801</v>
      </c>
      <c r="I41" s="76">
        <v>2822912.21</v>
      </c>
      <c r="J41" s="224">
        <f t="shared" ref="J41:J51" si="8">I41/D41</f>
        <v>4.7542178988999539E-2</v>
      </c>
      <c r="K41" s="76">
        <v>3005993.86</v>
      </c>
      <c r="L41" s="80">
        <v>5.3460370747400468E-2</v>
      </c>
      <c r="M41" s="204">
        <f t="shared" si="3"/>
        <v>-6.0905530259466323E-2</v>
      </c>
      <c r="N41" s="63">
        <v>22719</v>
      </c>
    </row>
    <row r="42" spans="1:14" ht="15" customHeight="1" x14ac:dyDescent="0.2">
      <c r="A42" s="75"/>
      <c r="B42" s="75" t="s">
        <v>281</v>
      </c>
      <c r="C42" s="213">
        <v>1550000</v>
      </c>
      <c r="D42" s="218">
        <v>1500000</v>
      </c>
      <c r="E42" s="76">
        <v>1500000</v>
      </c>
      <c r="F42" s="148">
        <f t="shared" si="6"/>
        <v>1</v>
      </c>
      <c r="G42" s="76">
        <v>1500000</v>
      </c>
      <c r="H42" s="148">
        <f t="shared" si="7"/>
        <v>1</v>
      </c>
      <c r="I42" s="76">
        <v>148811.28</v>
      </c>
      <c r="J42" s="224">
        <f t="shared" si="8"/>
        <v>9.9207519999999993E-2</v>
      </c>
      <c r="K42" s="76">
        <v>173530.88</v>
      </c>
      <c r="L42" s="80">
        <v>0.11934723521320495</v>
      </c>
      <c r="M42" s="204">
        <f t="shared" si="3"/>
        <v>-0.14245072692537497</v>
      </c>
      <c r="N42" s="63">
        <v>22720</v>
      </c>
    </row>
    <row r="43" spans="1:14" ht="15" customHeight="1" x14ac:dyDescent="0.2">
      <c r="A43" s="75"/>
      <c r="B43" s="75" t="s">
        <v>283</v>
      </c>
      <c r="C43" s="213">
        <v>2113545.42</v>
      </c>
      <c r="D43" s="218">
        <v>2113545.42</v>
      </c>
      <c r="E43" s="76">
        <v>1256410.06</v>
      </c>
      <c r="F43" s="148">
        <f t="shared" si="6"/>
        <v>0.59445614374353029</v>
      </c>
      <c r="G43" s="76">
        <v>1037091.98</v>
      </c>
      <c r="H43" s="148">
        <f t="shared" si="7"/>
        <v>0.49068828622571076</v>
      </c>
      <c r="I43" s="76">
        <v>33020.44</v>
      </c>
      <c r="J43" s="224">
        <f t="shared" si="8"/>
        <v>1.5623245986357844E-2</v>
      </c>
      <c r="K43" s="76">
        <v>76067.34</v>
      </c>
      <c r="L43" s="80">
        <v>5.6346177777777777E-2</v>
      </c>
      <c r="M43" s="204">
        <f t="shared" si="3"/>
        <v>-0.5659051571936129</v>
      </c>
      <c r="N43" s="63">
        <v>22721</v>
      </c>
    </row>
    <row r="44" spans="1:14" ht="15" customHeight="1" x14ac:dyDescent="0.2">
      <c r="A44" s="75"/>
      <c r="B44" s="75" t="s">
        <v>282</v>
      </c>
      <c r="C44" s="213">
        <v>2650000</v>
      </c>
      <c r="D44" s="218">
        <v>2660530.91</v>
      </c>
      <c r="E44" s="76">
        <v>2660530.91</v>
      </c>
      <c r="F44" s="148">
        <f t="shared" si="6"/>
        <v>1</v>
      </c>
      <c r="G44" s="76">
        <v>2660530.91</v>
      </c>
      <c r="H44" s="148">
        <f t="shared" si="7"/>
        <v>1</v>
      </c>
      <c r="I44" s="76">
        <v>0</v>
      </c>
      <c r="J44" s="224" t="s">
        <v>135</v>
      </c>
      <c r="K44" s="76">
        <v>0</v>
      </c>
      <c r="L44" s="80">
        <v>0</v>
      </c>
      <c r="M44" s="204" t="s">
        <v>135</v>
      </c>
      <c r="N44" s="63">
        <v>22723</v>
      </c>
    </row>
    <row r="45" spans="1:14" ht="15" customHeight="1" x14ac:dyDescent="0.2">
      <c r="A45" s="75"/>
      <c r="B45" s="75" t="s">
        <v>285</v>
      </c>
      <c r="C45" s="213">
        <v>9307905.2899999991</v>
      </c>
      <c r="D45" s="218">
        <v>9241295.2899999991</v>
      </c>
      <c r="E45" s="76">
        <v>8312044.7199999997</v>
      </c>
      <c r="F45" s="148">
        <f t="shared" si="6"/>
        <v>0.89944585246555853</v>
      </c>
      <c r="G45" s="76">
        <v>5682643.6900000004</v>
      </c>
      <c r="H45" s="148">
        <f t="shared" si="7"/>
        <v>0.61491852729229268</v>
      </c>
      <c r="I45" s="76">
        <v>144205.78</v>
      </c>
      <c r="J45" s="224">
        <f t="shared" si="8"/>
        <v>1.5604498663303726E-2</v>
      </c>
      <c r="K45" s="76">
        <v>164994.63</v>
      </c>
      <c r="L45" s="80">
        <v>1.8026827414386992E-2</v>
      </c>
      <c r="M45" s="204">
        <f t="shared" si="3"/>
        <v>-0.1259971309369281</v>
      </c>
      <c r="N45" s="63">
        <v>22724</v>
      </c>
    </row>
    <row r="46" spans="1:14" ht="15" customHeight="1" x14ac:dyDescent="0.2">
      <c r="A46" s="75"/>
      <c r="B46" s="75" t="s">
        <v>493</v>
      </c>
      <c r="C46" s="213">
        <v>30380.83</v>
      </c>
      <c r="D46" s="218">
        <v>18380.830000000002</v>
      </c>
      <c r="E46" s="76">
        <v>0</v>
      </c>
      <c r="F46" s="148" t="s">
        <v>135</v>
      </c>
      <c r="G46" s="76">
        <v>0</v>
      </c>
      <c r="H46" s="148" t="s">
        <v>135</v>
      </c>
      <c r="I46" s="76">
        <v>0</v>
      </c>
      <c r="J46" s="224" t="s">
        <v>135</v>
      </c>
      <c r="K46" s="76">
        <v>3496.9</v>
      </c>
      <c r="L46" s="80">
        <v>0.10874378522534894</v>
      </c>
      <c r="M46" s="204" t="s">
        <v>135</v>
      </c>
      <c r="N46" s="63" t="s">
        <v>492</v>
      </c>
    </row>
    <row r="47" spans="1:14" ht="15" customHeight="1" x14ac:dyDescent="0.2">
      <c r="A47" s="75"/>
      <c r="B47" s="75" t="s">
        <v>494</v>
      </c>
      <c r="C47" s="213">
        <v>19644.86</v>
      </c>
      <c r="D47" s="218">
        <v>19644.86</v>
      </c>
      <c r="E47" s="76">
        <v>19644.86</v>
      </c>
      <c r="F47" s="148">
        <f t="shared" si="6"/>
        <v>1</v>
      </c>
      <c r="G47" s="76">
        <v>19644.86</v>
      </c>
      <c r="H47" s="148">
        <f t="shared" si="7"/>
        <v>1</v>
      </c>
      <c r="I47" s="76">
        <v>3928.97</v>
      </c>
      <c r="J47" s="224">
        <f t="shared" si="8"/>
        <v>0.19999989819219885</v>
      </c>
      <c r="K47" s="76">
        <v>0</v>
      </c>
      <c r="L47" s="80">
        <v>0</v>
      </c>
      <c r="M47" s="204" t="s">
        <v>135</v>
      </c>
      <c r="N47" s="63" t="s">
        <v>495</v>
      </c>
    </row>
    <row r="48" spans="1:14" ht="15" customHeight="1" x14ac:dyDescent="0.2">
      <c r="A48" s="75"/>
      <c r="B48" s="75" t="s">
        <v>287</v>
      </c>
      <c r="C48" s="213">
        <v>261303122.13999999</v>
      </c>
      <c r="D48" s="218">
        <v>259391259.15000001</v>
      </c>
      <c r="E48" s="76">
        <v>256436783.59999999</v>
      </c>
      <c r="F48" s="148">
        <f t="shared" si="6"/>
        <v>0.98860996488593511</v>
      </c>
      <c r="G48" s="76">
        <v>256436783.59999999</v>
      </c>
      <c r="H48" s="148">
        <f t="shared" si="7"/>
        <v>0.98860996488593511</v>
      </c>
      <c r="I48" s="76">
        <v>0</v>
      </c>
      <c r="J48" s="224" t="s">
        <v>135</v>
      </c>
      <c r="K48" s="76">
        <v>0</v>
      </c>
      <c r="L48" s="80">
        <v>0</v>
      </c>
      <c r="M48" s="204" t="s">
        <v>135</v>
      </c>
      <c r="N48" s="63">
        <v>22727</v>
      </c>
    </row>
    <row r="49" spans="1:14" ht="15" customHeight="1" x14ac:dyDescent="0.2">
      <c r="A49" s="75"/>
      <c r="B49" s="75" t="s">
        <v>284</v>
      </c>
      <c r="C49" s="213">
        <v>1874554.49</v>
      </c>
      <c r="D49" s="218">
        <v>1874554.49</v>
      </c>
      <c r="E49" s="76">
        <v>1200277.23</v>
      </c>
      <c r="F49" s="148">
        <f t="shared" si="6"/>
        <v>0.64029999469367249</v>
      </c>
      <c r="G49" s="76">
        <v>1200277.23</v>
      </c>
      <c r="H49" s="148">
        <f t="shared" si="7"/>
        <v>0.64029999469367249</v>
      </c>
      <c r="I49" s="76">
        <v>0</v>
      </c>
      <c r="J49" s="224" t="s">
        <v>135</v>
      </c>
      <c r="K49" s="76">
        <v>82715.039999999994</v>
      </c>
      <c r="L49" s="80">
        <v>3.6499181960246006E-2</v>
      </c>
      <c r="M49" s="204">
        <f t="shared" si="3"/>
        <v>-1</v>
      </c>
      <c r="N49" s="63">
        <v>22729</v>
      </c>
    </row>
    <row r="50" spans="1:14" ht="15" customHeight="1" x14ac:dyDescent="0.2">
      <c r="A50" s="75"/>
      <c r="B50" s="75" t="s">
        <v>289</v>
      </c>
      <c r="C50" s="213">
        <v>50122831.859999999</v>
      </c>
      <c r="D50" s="218">
        <v>50554223</v>
      </c>
      <c r="E50" s="76">
        <v>40442137.219999999</v>
      </c>
      <c r="F50" s="148">
        <f t="shared" si="6"/>
        <v>0.79997544853967983</v>
      </c>
      <c r="G50" s="76">
        <v>40153638.539999999</v>
      </c>
      <c r="H50" s="148">
        <f t="shared" si="7"/>
        <v>0.79426873082393135</v>
      </c>
      <c r="I50" s="76">
        <v>1711357.55</v>
      </c>
      <c r="J50" s="224">
        <f t="shared" si="8"/>
        <v>3.3851920738649274E-2</v>
      </c>
      <c r="K50" s="76">
        <v>3286928.4</v>
      </c>
      <c r="L50" s="80">
        <v>7.4975731968774426E-2</v>
      </c>
      <c r="M50" s="204">
        <f t="shared" si="3"/>
        <v>-0.47934443902094126</v>
      </c>
      <c r="N50" s="63">
        <v>22731</v>
      </c>
    </row>
    <row r="51" spans="1:14" ht="15" customHeight="1" x14ac:dyDescent="0.2">
      <c r="A51" s="75"/>
      <c r="B51" s="75" t="s">
        <v>288</v>
      </c>
      <c r="C51" s="213">
        <v>4217686.7</v>
      </c>
      <c r="D51" s="218">
        <v>4219513.26</v>
      </c>
      <c r="E51" s="76">
        <v>4133678.45</v>
      </c>
      <c r="F51" s="148">
        <f t="shared" si="6"/>
        <v>0.97965765131876859</v>
      </c>
      <c r="G51" s="76">
        <v>4133678.45</v>
      </c>
      <c r="H51" s="148">
        <f t="shared" si="7"/>
        <v>0.97965765131876859</v>
      </c>
      <c r="I51" s="76">
        <v>355869.84</v>
      </c>
      <c r="J51" s="224">
        <f t="shared" si="8"/>
        <v>8.4339073744254575E-2</v>
      </c>
      <c r="K51" s="76">
        <v>215281.92000000001</v>
      </c>
      <c r="L51" s="80">
        <v>5.145099448809131E-2</v>
      </c>
      <c r="M51" s="204">
        <f t="shared" si="3"/>
        <v>0.65304099851952269</v>
      </c>
      <c r="N51" s="63">
        <v>22732</v>
      </c>
    </row>
    <row r="52" spans="1:14" ht="15" customHeight="1" x14ac:dyDescent="0.2">
      <c r="A52" s="77"/>
      <c r="B52" s="77" t="s">
        <v>290</v>
      </c>
      <c r="C52" s="214">
        <v>2249365.83</v>
      </c>
      <c r="D52" s="219">
        <v>2267348.16</v>
      </c>
      <c r="E52" s="78">
        <v>1798399.76</v>
      </c>
      <c r="F52" s="504">
        <f t="shared" si="4"/>
        <v>0.7931731843070805</v>
      </c>
      <c r="G52" s="78">
        <v>1706268.0899999999</v>
      </c>
      <c r="H52" s="504">
        <f t="shared" si="1"/>
        <v>0.75253907631018602</v>
      </c>
      <c r="I52" s="78">
        <v>75472.829999999987</v>
      </c>
      <c r="J52" s="521">
        <f t="shared" si="2"/>
        <v>3.3286828785924073E-2</v>
      </c>
      <c r="K52" s="78">
        <v>68605.050000000745</v>
      </c>
      <c r="L52" s="80">
        <v>2.2285790738633848E-2</v>
      </c>
      <c r="M52" s="204">
        <f t="shared" si="3"/>
        <v>0.10010604175638926</v>
      </c>
      <c r="N52" s="64" t="s">
        <v>291</v>
      </c>
    </row>
    <row r="53" spans="1:14" ht="15" customHeight="1" x14ac:dyDescent="0.2">
      <c r="A53" s="73"/>
      <c r="B53" s="73" t="s">
        <v>292</v>
      </c>
      <c r="C53" s="213">
        <v>2085705.4</v>
      </c>
      <c r="D53" s="218">
        <v>1680785.96</v>
      </c>
      <c r="E53" s="76">
        <v>1444506.09</v>
      </c>
      <c r="F53" s="505">
        <f t="shared" si="4"/>
        <v>0.85942298685074692</v>
      </c>
      <c r="G53" s="90">
        <v>107576.75</v>
      </c>
      <c r="H53" s="505">
        <f t="shared" si="1"/>
        <v>6.4003836633666308E-2</v>
      </c>
      <c r="I53" s="76">
        <v>107576.75</v>
      </c>
      <c r="J53" s="522">
        <f t="shared" si="2"/>
        <v>6.4003836633666308E-2</v>
      </c>
      <c r="K53" s="90">
        <v>192019.58</v>
      </c>
      <c r="L53" s="79">
        <v>9.7803357357925086E-2</v>
      </c>
      <c r="M53" s="203">
        <f t="shared" si="3"/>
        <v>-0.43976155973260644</v>
      </c>
      <c r="N53" s="63">
        <v>230</v>
      </c>
    </row>
    <row r="54" spans="1:14" ht="15" customHeight="1" x14ac:dyDescent="0.2">
      <c r="A54" s="75"/>
      <c r="B54" s="75" t="s">
        <v>293</v>
      </c>
      <c r="C54" s="213">
        <v>1009644.36</v>
      </c>
      <c r="D54" s="218">
        <v>1328154.8899999999</v>
      </c>
      <c r="E54" s="76">
        <v>277433.63</v>
      </c>
      <c r="F54" s="148">
        <f t="shared" si="4"/>
        <v>0.20888650268795081</v>
      </c>
      <c r="G54" s="76">
        <v>148035.48000000001</v>
      </c>
      <c r="H54" s="148">
        <f t="shared" si="1"/>
        <v>0.11145950002864502</v>
      </c>
      <c r="I54" s="76">
        <v>40912.730000000003</v>
      </c>
      <c r="J54" s="224">
        <f t="shared" si="2"/>
        <v>3.0804185797938075E-2</v>
      </c>
      <c r="K54" s="76">
        <v>129492.06</v>
      </c>
      <c r="L54" s="80">
        <v>0.10173619174722448</v>
      </c>
      <c r="M54" s="204">
        <f t="shared" si="3"/>
        <v>-0.68405221138655137</v>
      </c>
      <c r="N54" s="63">
        <v>231</v>
      </c>
    </row>
    <row r="55" spans="1:14" ht="15" customHeight="1" x14ac:dyDescent="0.2">
      <c r="A55" s="77"/>
      <c r="B55" s="77" t="s">
        <v>294</v>
      </c>
      <c r="C55" s="214">
        <v>365380.73</v>
      </c>
      <c r="D55" s="219">
        <v>311317.40999999997</v>
      </c>
      <c r="E55" s="78">
        <v>254000</v>
      </c>
      <c r="F55" s="504">
        <f t="shared" si="4"/>
        <v>0.81588755347797615</v>
      </c>
      <c r="G55" s="78">
        <v>6120</v>
      </c>
      <c r="H55" s="504">
        <f t="shared" si="1"/>
        <v>1.9658393020807928E-2</v>
      </c>
      <c r="I55" s="78">
        <v>6120</v>
      </c>
      <c r="J55" s="521">
        <f t="shared" si="2"/>
        <v>1.9658393020807928E-2</v>
      </c>
      <c r="K55" s="78">
        <v>17197</v>
      </c>
      <c r="L55" s="80">
        <v>5.2597738600035811E-2</v>
      </c>
      <c r="M55" s="204">
        <f t="shared" si="3"/>
        <v>-0.64412397511193809</v>
      </c>
      <c r="N55" s="63">
        <v>233</v>
      </c>
    </row>
    <row r="56" spans="1:14" ht="15" customHeight="1" x14ac:dyDescent="0.2">
      <c r="A56" s="59"/>
      <c r="B56" s="59" t="s">
        <v>295</v>
      </c>
      <c r="C56" s="197"/>
      <c r="D56" s="192"/>
      <c r="E56" s="60"/>
      <c r="F56" s="86"/>
      <c r="G56" s="60"/>
      <c r="H56" s="86"/>
      <c r="I56" s="60"/>
      <c r="J56" s="193"/>
      <c r="K56" s="35">
        <v>0</v>
      </c>
      <c r="L56" s="531" t="s">
        <v>135</v>
      </c>
      <c r="M56" s="205" t="s">
        <v>135</v>
      </c>
      <c r="N56" s="63">
        <v>27</v>
      </c>
    </row>
    <row r="57" spans="1:14" ht="15" customHeight="1" x14ac:dyDescent="0.2">
      <c r="A57" s="9"/>
      <c r="B57" s="91" t="s">
        <v>246</v>
      </c>
      <c r="C57" s="181">
        <f>SUM(C12:C56)</f>
        <v>603468828.03000009</v>
      </c>
      <c r="D57" s="171">
        <f>SUM(D12:D56)</f>
        <v>603498809.02999997</v>
      </c>
      <c r="E57" s="92">
        <f>SUM(E12:E56)</f>
        <v>514965274.74000001</v>
      </c>
      <c r="F57" s="98">
        <f>+E57/D57</f>
        <v>0.85329957082715813</v>
      </c>
      <c r="G57" s="92">
        <f>SUM(G12:G56)</f>
        <v>488911374.50000006</v>
      </c>
      <c r="H57" s="98">
        <f t="shared" si="1"/>
        <v>0.81012815134767935</v>
      </c>
      <c r="I57" s="92">
        <f>SUM(I12:I56)</f>
        <v>13798101.130000001</v>
      </c>
      <c r="J57" s="190">
        <f t="shared" si="2"/>
        <v>2.2863510123868523E-2</v>
      </c>
      <c r="K57" s="92">
        <f>SUM(K12:K56)</f>
        <v>18448937.780000001</v>
      </c>
      <c r="L57" s="44">
        <v>3.2716285324106718E-2</v>
      </c>
      <c r="M57" s="162">
        <f>+I57/K57-1</f>
        <v>-0.25209238089803998</v>
      </c>
    </row>
    <row r="58" spans="1:14" ht="15" customHeight="1" x14ac:dyDescent="0.2">
      <c r="A58" s="75"/>
      <c r="B58" s="89" t="s">
        <v>352</v>
      </c>
      <c r="C58" s="213">
        <v>33425949.170000002</v>
      </c>
      <c r="D58" s="218">
        <v>33425949.170000002</v>
      </c>
      <c r="E58" s="76">
        <v>6623323.1399999997</v>
      </c>
      <c r="F58" s="505">
        <f>+E58/D58</f>
        <v>0.19814914174357909</v>
      </c>
      <c r="G58" s="90">
        <v>6623323.1399999997</v>
      </c>
      <c r="H58" s="505">
        <f t="shared" si="1"/>
        <v>0.19814914174357909</v>
      </c>
      <c r="I58" s="90">
        <v>6623323.1399999997</v>
      </c>
      <c r="J58" s="522">
        <f t="shared" si="2"/>
        <v>0.19814914174357909</v>
      </c>
      <c r="K58" s="90">
        <v>10493458.539999999</v>
      </c>
      <c r="L58" s="115">
        <v>0.27777559568885596</v>
      </c>
      <c r="M58" s="206">
        <f>+I58/K58-1</f>
        <v>-0.36881409358482109</v>
      </c>
      <c r="N58" s="63" t="s">
        <v>354</v>
      </c>
    </row>
    <row r="59" spans="1:14" ht="15" customHeight="1" x14ac:dyDescent="0.2">
      <c r="A59" s="75"/>
      <c r="B59" s="75" t="s">
        <v>353</v>
      </c>
      <c r="C59" s="213">
        <v>1031803.03</v>
      </c>
      <c r="D59" s="218">
        <v>1031803.03</v>
      </c>
      <c r="E59" s="76">
        <v>45416.38</v>
      </c>
      <c r="F59" s="148">
        <f>+E59/D59</f>
        <v>4.4016521254061441E-2</v>
      </c>
      <c r="G59" s="76">
        <v>45416.38</v>
      </c>
      <c r="H59" s="148">
        <f t="shared" si="1"/>
        <v>4.4016521254061441E-2</v>
      </c>
      <c r="I59" s="76">
        <v>45416.38</v>
      </c>
      <c r="J59" s="224">
        <f t="shared" si="2"/>
        <v>4.4016521254061441E-2</v>
      </c>
      <c r="K59" s="76">
        <v>1355.84</v>
      </c>
      <c r="L59" s="80">
        <v>8.4339228945095972E-4</v>
      </c>
      <c r="M59" s="206" t="s">
        <v>135</v>
      </c>
      <c r="N59" s="63" t="s">
        <v>355</v>
      </c>
    </row>
    <row r="60" spans="1:14" ht="15" customHeight="1" x14ac:dyDescent="0.2">
      <c r="A60" s="75"/>
      <c r="B60" s="87" t="s">
        <v>189</v>
      </c>
      <c r="C60" s="477">
        <v>250000</v>
      </c>
      <c r="D60" s="221">
        <v>250000</v>
      </c>
      <c r="E60" s="88">
        <v>0</v>
      </c>
      <c r="F60" s="282" t="s">
        <v>135</v>
      </c>
      <c r="G60" s="88">
        <v>0</v>
      </c>
      <c r="H60" s="282" t="s">
        <v>135</v>
      </c>
      <c r="I60" s="76">
        <v>0</v>
      </c>
      <c r="J60" s="225" t="s">
        <v>135</v>
      </c>
      <c r="K60" s="88">
        <v>7614.25</v>
      </c>
      <c r="L60" s="405">
        <v>3.0457000000000001E-2</v>
      </c>
      <c r="M60" s="206">
        <f t="shared" ref="M59:M60" si="9">+I60/K60-1</f>
        <v>-1</v>
      </c>
      <c r="N60" s="63">
        <v>352</v>
      </c>
    </row>
    <row r="61" spans="1:14" ht="15" customHeight="1" thickBot="1" x14ac:dyDescent="0.25">
      <c r="A61" s="9"/>
      <c r="B61" s="2" t="s">
        <v>2</v>
      </c>
      <c r="C61" s="186">
        <f>SUM(C58:C60)</f>
        <v>34707752.200000003</v>
      </c>
      <c r="D61" s="189">
        <f t="shared" ref="D61:I61" si="10">SUM(D58:D60)</f>
        <v>34707752.200000003</v>
      </c>
      <c r="E61" s="195">
        <f t="shared" si="10"/>
        <v>6668739.5199999996</v>
      </c>
      <c r="F61" s="452">
        <f>+E61/D61</f>
        <v>0.19213976985810102</v>
      </c>
      <c r="G61" s="195">
        <f t="shared" si="10"/>
        <v>6668739.5199999996</v>
      </c>
      <c r="H61" s="452">
        <f t="shared" si="1"/>
        <v>0.19213976985810102</v>
      </c>
      <c r="I61" s="195">
        <f t="shared" si="10"/>
        <v>6668739.5199999996</v>
      </c>
      <c r="J61" s="196">
        <f t="shared" si="2"/>
        <v>0.19213976985810102</v>
      </c>
      <c r="K61" s="216">
        <f>SUM(K58:K60)</f>
        <v>10502428.629999999</v>
      </c>
      <c r="L61" s="207">
        <v>0.26498298797782771</v>
      </c>
      <c r="M61" s="208">
        <f>+I61/K61-1</f>
        <v>-0.36502881810109478</v>
      </c>
      <c r="N61" s="64">
        <v>3</v>
      </c>
    </row>
    <row r="63" spans="1:14" ht="15.75" thickBot="1" x14ac:dyDescent="0.3">
      <c r="A63" s="7" t="s">
        <v>239</v>
      </c>
    </row>
    <row r="64" spans="1:14" x14ac:dyDescent="0.2">
      <c r="A64" s="8" t="s">
        <v>296</v>
      </c>
      <c r="C64" s="183" t="s">
        <v>510</v>
      </c>
      <c r="D64" s="577" t="s">
        <v>552</v>
      </c>
      <c r="E64" s="575"/>
      <c r="F64" s="575"/>
      <c r="G64" s="575"/>
      <c r="H64" s="575"/>
      <c r="I64" s="575"/>
      <c r="J64" s="576"/>
      <c r="K64" s="585" t="s">
        <v>553</v>
      </c>
      <c r="L64" s="586"/>
      <c r="M64" s="436"/>
    </row>
    <row r="65" spans="1:16" x14ac:dyDescent="0.2">
      <c r="C65" s="176">
        <v>1</v>
      </c>
      <c r="D65" s="166">
        <v>2</v>
      </c>
      <c r="E65" s="95">
        <v>3</v>
      </c>
      <c r="F65" s="96" t="s">
        <v>39</v>
      </c>
      <c r="G65" s="95">
        <v>4</v>
      </c>
      <c r="H65" s="96" t="s">
        <v>40</v>
      </c>
      <c r="I65" s="95">
        <v>5</v>
      </c>
      <c r="J65" s="167" t="s">
        <v>41</v>
      </c>
      <c r="K65" s="166" t="s">
        <v>42</v>
      </c>
      <c r="L65" s="16" t="s">
        <v>43</v>
      </c>
      <c r="M65" s="437" t="s">
        <v>368</v>
      </c>
    </row>
    <row r="66" spans="1:16" ht="25.5" x14ac:dyDescent="0.2">
      <c r="A66" s="1"/>
      <c r="B66" s="2" t="s">
        <v>156</v>
      </c>
      <c r="C66" s="177" t="s">
        <v>13</v>
      </c>
      <c r="D66" s="127" t="s">
        <v>356</v>
      </c>
      <c r="E66" s="97" t="s">
        <v>15</v>
      </c>
      <c r="F66" s="97" t="s">
        <v>18</v>
      </c>
      <c r="G66" s="97" t="s">
        <v>16</v>
      </c>
      <c r="H66" s="97" t="s">
        <v>18</v>
      </c>
      <c r="I66" s="97" t="s">
        <v>17</v>
      </c>
      <c r="J66" s="128" t="s">
        <v>18</v>
      </c>
      <c r="K66" s="97" t="s">
        <v>17</v>
      </c>
      <c r="L66" s="12" t="s">
        <v>18</v>
      </c>
      <c r="M66" s="158" t="s">
        <v>550</v>
      </c>
      <c r="N66" s="62" t="s">
        <v>169</v>
      </c>
      <c r="P66" s="428"/>
    </row>
    <row r="67" spans="1:16" ht="15" customHeight="1" x14ac:dyDescent="0.2">
      <c r="A67" s="21"/>
      <c r="B67" s="21" t="s">
        <v>299</v>
      </c>
      <c r="C67" s="215">
        <v>24587855.940000001</v>
      </c>
      <c r="D67" s="218">
        <v>24587855.940000001</v>
      </c>
      <c r="E67" s="90">
        <v>24587855.940000001</v>
      </c>
      <c r="F67" s="507">
        <f t="shared" ref="F67:F84" si="11">+E67/D67</f>
        <v>1</v>
      </c>
      <c r="G67" s="90">
        <v>24587855.940000001</v>
      </c>
      <c r="H67" s="507">
        <f>+G67/D67</f>
        <v>1</v>
      </c>
      <c r="I67" s="90">
        <v>1000000</v>
      </c>
      <c r="J67" s="412">
        <f>I67/D67</f>
        <v>4.0670483934842835E-2</v>
      </c>
      <c r="K67" s="154">
        <v>1200000</v>
      </c>
      <c r="L67" s="53">
        <v>5.0060808948063897E-2</v>
      </c>
      <c r="M67" s="160">
        <f t="shared" ref="M67:M129" si="12">+I67/K67-1</f>
        <v>-0.16666666666666663</v>
      </c>
      <c r="N67" s="64" t="s">
        <v>370</v>
      </c>
      <c r="P67" s="427"/>
    </row>
    <row r="68" spans="1:16" ht="15" customHeight="1" x14ac:dyDescent="0.2">
      <c r="A68" s="23"/>
      <c r="B68" s="23" t="s">
        <v>300</v>
      </c>
      <c r="C68" s="215">
        <v>858841</v>
      </c>
      <c r="D68" s="218">
        <v>858841</v>
      </c>
      <c r="E68" s="90">
        <v>858841</v>
      </c>
      <c r="F68" s="508">
        <f t="shared" si="11"/>
        <v>1</v>
      </c>
      <c r="G68" s="90">
        <v>858841</v>
      </c>
      <c r="H68" s="508">
        <f t="shared" ref="H68:H129" si="13">+G68/D68</f>
        <v>1</v>
      </c>
      <c r="I68" s="90">
        <v>215000</v>
      </c>
      <c r="J68" s="523">
        <f t="shared" ref="J68:J129" si="14">I68/D68</f>
        <v>0.25033737327398203</v>
      </c>
      <c r="K68" s="151">
        <v>215000</v>
      </c>
      <c r="L68" s="55">
        <v>0.25033737327398203</v>
      </c>
      <c r="M68" s="160">
        <f t="shared" si="12"/>
        <v>0</v>
      </c>
      <c r="N68" s="64" t="s">
        <v>371</v>
      </c>
      <c r="P68" s="427"/>
    </row>
    <row r="69" spans="1:16" ht="15" customHeight="1" x14ac:dyDescent="0.2">
      <c r="A69" s="23"/>
      <c r="B69" s="23" t="s">
        <v>301</v>
      </c>
      <c r="C69" s="215">
        <v>43098862</v>
      </c>
      <c r="D69" s="218">
        <v>44765638</v>
      </c>
      <c r="E69" s="90">
        <v>35715638</v>
      </c>
      <c r="F69" s="508">
        <f t="shared" si="11"/>
        <v>0.79783600984308545</v>
      </c>
      <c r="G69" s="90">
        <v>35715638</v>
      </c>
      <c r="H69" s="508">
        <f t="shared" si="13"/>
        <v>0.79783600984308545</v>
      </c>
      <c r="I69" s="90">
        <v>11066776</v>
      </c>
      <c r="J69" s="523">
        <f t="shared" si="14"/>
        <v>0.24721586677710256</v>
      </c>
      <c r="K69" s="151">
        <v>14000000</v>
      </c>
      <c r="L69" s="55">
        <v>0.33623660028099295</v>
      </c>
      <c r="M69" s="160">
        <f t="shared" si="12"/>
        <v>-0.20951600000000004</v>
      </c>
      <c r="N69" s="64" t="s">
        <v>372</v>
      </c>
      <c r="P69" s="427"/>
    </row>
    <row r="70" spans="1:16" ht="15" customHeight="1" x14ac:dyDescent="0.2">
      <c r="A70" s="23"/>
      <c r="B70" s="23" t="s">
        <v>302</v>
      </c>
      <c r="C70" s="215">
        <v>32481396.359999999</v>
      </c>
      <c r="D70" s="218">
        <v>41106610.100000001</v>
      </c>
      <c r="E70" s="90">
        <v>31731080.270000003</v>
      </c>
      <c r="F70" s="508">
        <f t="shared" si="11"/>
        <v>0.77192160075491123</v>
      </c>
      <c r="G70" s="90">
        <v>31731080.270000003</v>
      </c>
      <c r="H70" s="508">
        <f t="shared" si="13"/>
        <v>0.77192160075491123</v>
      </c>
      <c r="I70" s="90">
        <v>5627500</v>
      </c>
      <c r="J70" s="523">
        <f t="shared" si="14"/>
        <v>0.13690012351565811</v>
      </c>
      <c r="K70" s="151">
        <v>7182742.7999999998</v>
      </c>
      <c r="L70" s="55">
        <v>0.2292959134030661</v>
      </c>
      <c r="M70" s="160">
        <f t="shared" si="12"/>
        <v>-0.21652491858681056</v>
      </c>
      <c r="N70" s="64" t="s">
        <v>373</v>
      </c>
      <c r="P70" s="428"/>
    </row>
    <row r="71" spans="1:16" ht="15" customHeight="1" x14ac:dyDescent="0.2">
      <c r="A71" s="23"/>
      <c r="B71" s="23" t="s">
        <v>303</v>
      </c>
      <c r="C71" s="215">
        <v>97214659.010000005</v>
      </c>
      <c r="D71" s="218">
        <v>108914659.01000001</v>
      </c>
      <c r="E71" s="90">
        <v>101614659.01000001</v>
      </c>
      <c r="F71" s="508">
        <f t="shared" si="11"/>
        <v>0.93297504609246629</v>
      </c>
      <c r="G71" s="90">
        <v>101614659.01000001</v>
      </c>
      <c r="H71" s="508">
        <f t="shared" si="13"/>
        <v>0.93297504609246629</v>
      </c>
      <c r="I71" s="90">
        <v>16400000</v>
      </c>
      <c r="J71" s="523">
        <f t="shared" si="14"/>
        <v>0.15057660877856885</v>
      </c>
      <c r="K71" s="151">
        <v>22500000</v>
      </c>
      <c r="L71" s="55">
        <v>0.24115755627009647</v>
      </c>
      <c r="M71" s="160">
        <f t="shared" si="12"/>
        <v>-0.27111111111111108</v>
      </c>
      <c r="N71" s="64" t="s">
        <v>471</v>
      </c>
      <c r="P71" s="427"/>
    </row>
    <row r="72" spans="1:16" ht="15" customHeight="1" x14ac:dyDescent="0.2">
      <c r="A72" s="23"/>
      <c r="B72" s="23" t="s">
        <v>304</v>
      </c>
      <c r="C72" s="215">
        <v>2215090.08</v>
      </c>
      <c r="D72" s="218">
        <v>2215090.08</v>
      </c>
      <c r="E72" s="90">
        <v>982545</v>
      </c>
      <c r="F72" s="508">
        <f t="shared" si="11"/>
        <v>0.4435688683143757</v>
      </c>
      <c r="G72" s="90">
        <v>982545</v>
      </c>
      <c r="H72" s="508">
        <f t="shared" si="13"/>
        <v>0.4435688683143757</v>
      </c>
      <c r="I72" s="90">
        <v>982545</v>
      </c>
      <c r="J72" s="523">
        <f t="shared" si="14"/>
        <v>0.4435688683143757</v>
      </c>
      <c r="K72" s="151">
        <v>974000</v>
      </c>
      <c r="L72" s="55">
        <v>0.44322892728588265</v>
      </c>
      <c r="M72" s="160">
        <f t="shared" si="12"/>
        <v>8.7731006160163272E-3</v>
      </c>
      <c r="N72" s="64" t="s">
        <v>374</v>
      </c>
      <c r="P72" s="427"/>
    </row>
    <row r="73" spans="1:16" ht="15" customHeight="1" x14ac:dyDescent="0.2">
      <c r="A73" s="23"/>
      <c r="B73" s="23" t="s">
        <v>305</v>
      </c>
      <c r="C73" s="215">
        <v>7713147</v>
      </c>
      <c r="D73" s="218">
        <v>7713147</v>
      </c>
      <c r="E73" s="90">
        <v>15000</v>
      </c>
      <c r="F73" s="508">
        <f t="shared" si="11"/>
        <v>1.9447315084232155E-3</v>
      </c>
      <c r="G73" s="90">
        <v>15000</v>
      </c>
      <c r="H73" s="508">
        <f t="shared" si="13"/>
        <v>1.9447315084232155E-3</v>
      </c>
      <c r="I73" s="90">
        <v>0</v>
      </c>
      <c r="J73" s="523" t="s">
        <v>135</v>
      </c>
      <c r="K73" s="151">
        <v>1900000</v>
      </c>
      <c r="L73" s="55">
        <v>0.2463326577336073</v>
      </c>
      <c r="M73" s="160">
        <f t="shared" si="12"/>
        <v>-1</v>
      </c>
      <c r="N73" s="64" t="s">
        <v>375</v>
      </c>
      <c r="P73" s="427"/>
    </row>
    <row r="74" spans="1:16" ht="15" customHeight="1" x14ac:dyDescent="0.2">
      <c r="A74" s="23"/>
      <c r="B74" s="23" t="s">
        <v>306</v>
      </c>
      <c r="C74" s="215">
        <v>22591226.289999999</v>
      </c>
      <c r="D74" s="218">
        <v>22591226.289999999</v>
      </c>
      <c r="E74" s="90">
        <v>22591226.289999999</v>
      </c>
      <c r="F74" s="508">
        <f t="shared" si="11"/>
        <v>1</v>
      </c>
      <c r="G74" s="90">
        <v>22591226.289999999</v>
      </c>
      <c r="H74" s="508">
        <f t="shared" si="13"/>
        <v>1</v>
      </c>
      <c r="I74" s="90">
        <v>2000000</v>
      </c>
      <c r="J74" s="523">
        <f t="shared" si="14"/>
        <v>8.8529944073257302E-2</v>
      </c>
      <c r="K74" s="151">
        <v>2900000</v>
      </c>
      <c r="L74" s="55">
        <v>0.12834157311310956</v>
      </c>
      <c r="M74" s="160">
        <f t="shared" si="12"/>
        <v>-0.31034482758620685</v>
      </c>
      <c r="N74" s="64" t="s">
        <v>376</v>
      </c>
      <c r="P74" s="427"/>
    </row>
    <row r="75" spans="1:16" ht="15" customHeight="1" x14ac:dyDescent="0.2">
      <c r="A75" s="70"/>
      <c r="B75" s="70" t="s">
        <v>307</v>
      </c>
      <c r="C75" s="478">
        <v>8663077.6099999994</v>
      </c>
      <c r="D75" s="219">
        <v>9238077.6099999994</v>
      </c>
      <c r="E75" s="66">
        <v>8663077.6099999994</v>
      </c>
      <c r="F75" s="509">
        <f t="shared" si="11"/>
        <v>0.93775761318809703</v>
      </c>
      <c r="G75" s="66">
        <v>8663077.6099999994</v>
      </c>
      <c r="H75" s="509">
        <f t="shared" si="13"/>
        <v>0.93775761318809703</v>
      </c>
      <c r="I75" s="66">
        <v>1500000</v>
      </c>
      <c r="J75" s="524">
        <f t="shared" si="14"/>
        <v>0.16237144385713817</v>
      </c>
      <c r="K75" s="71">
        <v>1100000</v>
      </c>
      <c r="L75" s="72">
        <v>0.13719688491978302</v>
      </c>
      <c r="M75" s="209">
        <f t="shared" si="12"/>
        <v>0.36363636363636354</v>
      </c>
      <c r="N75" s="386" t="s">
        <v>377</v>
      </c>
      <c r="P75" s="427"/>
    </row>
    <row r="76" spans="1:16" ht="15" customHeight="1" x14ac:dyDescent="0.2">
      <c r="A76" s="73"/>
      <c r="B76" s="73" t="s">
        <v>308</v>
      </c>
      <c r="C76" s="218">
        <v>103023093</v>
      </c>
      <c r="D76" s="218">
        <v>103096093</v>
      </c>
      <c r="E76" s="90">
        <v>103096093</v>
      </c>
      <c r="F76" s="433">
        <f t="shared" si="11"/>
        <v>1</v>
      </c>
      <c r="G76" s="90">
        <v>103096093</v>
      </c>
      <c r="H76" s="433">
        <f t="shared" si="13"/>
        <v>1</v>
      </c>
      <c r="I76" s="90">
        <v>28073000</v>
      </c>
      <c r="J76" s="323">
        <f t="shared" si="14"/>
        <v>0.2722993586187597</v>
      </c>
      <c r="K76" s="90">
        <v>22284713.379999999</v>
      </c>
      <c r="L76" s="79">
        <v>0.21933105405645076</v>
      </c>
      <c r="M76" s="550">
        <f t="shared" si="12"/>
        <v>0.25974247553907737</v>
      </c>
      <c r="N76" s="387" t="s">
        <v>446</v>
      </c>
      <c r="P76" s="427"/>
    </row>
    <row r="77" spans="1:16" ht="15" customHeight="1" x14ac:dyDescent="0.2">
      <c r="A77" s="75"/>
      <c r="B77" s="75" t="s">
        <v>309</v>
      </c>
      <c r="C77" s="218">
        <v>47794228</v>
      </c>
      <c r="D77" s="218">
        <v>47794228</v>
      </c>
      <c r="E77" s="90">
        <v>47494228</v>
      </c>
      <c r="F77" s="510">
        <f t="shared" si="11"/>
        <v>0.99372309141597603</v>
      </c>
      <c r="G77" s="90">
        <v>47494228</v>
      </c>
      <c r="H77" s="510">
        <f t="shared" si="13"/>
        <v>0.99372309141597603</v>
      </c>
      <c r="I77" s="90">
        <v>7000000</v>
      </c>
      <c r="J77" s="525">
        <f t="shared" si="14"/>
        <v>0.14646120029389323</v>
      </c>
      <c r="K77" s="76">
        <v>4500000</v>
      </c>
      <c r="L77" s="80">
        <v>9.3957042172179914E-2</v>
      </c>
      <c r="M77" s="550">
        <f t="shared" si="12"/>
        <v>0.55555555555555558</v>
      </c>
      <c r="N77" s="64" t="s">
        <v>378</v>
      </c>
      <c r="P77" s="427"/>
    </row>
    <row r="78" spans="1:16" ht="15" customHeight="1" x14ac:dyDescent="0.2">
      <c r="A78" s="75"/>
      <c r="B78" s="75" t="s">
        <v>310</v>
      </c>
      <c r="C78" s="218">
        <v>2040648.37</v>
      </c>
      <c r="D78" s="218">
        <v>2040648.37</v>
      </c>
      <c r="E78" s="90">
        <v>1726096.42</v>
      </c>
      <c r="F78" s="510">
        <f t="shared" si="11"/>
        <v>0.84585685871985861</v>
      </c>
      <c r="G78" s="90">
        <v>1726096.42</v>
      </c>
      <c r="H78" s="510">
        <f t="shared" si="13"/>
        <v>0.84585685871985861</v>
      </c>
      <c r="I78" s="90">
        <v>863000</v>
      </c>
      <c r="J78" s="525">
        <f t="shared" si="14"/>
        <v>0.42290480451563539</v>
      </c>
      <c r="K78" s="76">
        <v>860000</v>
      </c>
      <c r="L78" s="80">
        <v>0.42614123993543584</v>
      </c>
      <c r="M78" s="206">
        <f t="shared" si="12"/>
        <v>3.4883720930232176E-3</v>
      </c>
      <c r="N78" s="64" t="s">
        <v>379</v>
      </c>
      <c r="P78" s="427"/>
    </row>
    <row r="79" spans="1:16" ht="15" customHeight="1" x14ac:dyDescent="0.2">
      <c r="A79" s="77"/>
      <c r="B79" s="77" t="s">
        <v>311</v>
      </c>
      <c r="C79" s="478">
        <v>617526</v>
      </c>
      <c r="D79" s="219">
        <v>947526</v>
      </c>
      <c r="E79" s="66">
        <v>947526</v>
      </c>
      <c r="F79" s="511">
        <f t="shared" si="11"/>
        <v>1</v>
      </c>
      <c r="G79" s="66">
        <v>947526</v>
      </c>
      <c r="H79" s="511">
        <f t="shared" si="13"/>
        <v>1</v>
      </c>
      <c r="I79" s="66">
        <v>400000</v>
      </c>
      <c r="J79" s="526">
        <f t="shared" si="14"/>
        <v>0.42215200427217831</v>
      </c>
      <c r="K79" s="78">
        <v>400000</v>
      </c>
      <c r="L79" s="81">
        <v>0.64774600583619146</v>
      </c>
      <c r="M79" s="206">
        <f t="shared" si="12"/>
        <v>0</v>
      </c>
      <c r="N79" s="64" t="s">
        <v>380</v>
      </c>
      <c r="P79" s="427"/>
    </row>
    <row r="80" spans="1:16" ht="15" customHeight="1" x14ac:dyDescent="0.2">
      <c r="A80" s="73"/>
      <c r="B80" s="73" t="s">
        <v>312</v>
      </c>
      <c r="C80" s="218">
        <v>30350633.390000001</v>
      </c>
      <c r="D80" s="218">
        <v>34150633.390000001</v>
      </c>
      <c r="E80" s="90">
        <v>7000000</v>
      </c>
      <c r="F80" s="433">
        <f t="shared" si="11"/>
        <v>0.20497423635046672</v>
      </c>
      <c r="G80" s="90">
        <v>7000000</v>
      </c>
      <c r="H80" s="433">
        <f t="shared" si="13"/>
        <v>0.20497423635046672</v>
      </c>
      <c r="I80" s="90">
        <v>7000000</v>
      </c>
      <c r="J80" s="277">
        <f t="shared" si="14"/>
        <v>0.20497423635046672</v>
      </c>
      <c r="K80" s="74">
        <v>3600000</v>
      </c>
      <c r="L80" s="79">
        <v>0.14576577074675287</v>
      </c>
      <c r="M80" s="203">
        <f t="shared" si="12"/>
        <v>0.94444444444444442</v>
      </c>
      <c r="N80" s="388" t="s">
        <v>477</v>
      </c>
      <c r="P80" s="427"/>
    </row>
    <row r="81" spans="1:16" ht="15" customHeight="1" x14ac:dyDescent="0.2">
      <c r="A81" s="75"/>
      <c r="B81" s="75" t="s">
        <v>313</v>
      </c>
      <c r="C81" s="218">
        <v>17159000</v>
      </c>
      <c r="D81" s="218">
        <v>17159000</v>
      </c>
      <c r="E81" s="90">
        <v>17159000</v>
      </c>
      <c r="F81" s="510">
        <f t="shared" si="11"/>
        <v>1</v>
      </c>
      <c r="G81" s="90">
        <v>17159000</v>
      </c>
      <c r="H81" s="510">
        <f t="shared" si="13"/>
        <v>1</v>
      </c>
      <c r="I81" s="90">
        <v>4900000</v>
      </c>
      <c r="J81" s="525">
        <f t="shared" si="14"/>
        <v>0.28556442683140043</v>
      </c>
      <c r="K81" s="76">
        <v>7800000</v>
      </c>
      <c r="L81" s="80">
        <v>0.47488584474885842</v>
      </c>
      <c r="M81" s="204">
        <f t="shared" si="12"/>
        <v>-0.37179487179487181</v>
      </c>
      <c r="N81" s="64" t="s">
        <v>381</v>
      </c>
      <c r="P81" s="427"/>
    </row>
    <row r="82" spans="1:16" ht="15" customHeight="1" x14ac:dyDescent="0.2">
      <c r="A82" s="75"/>
      <c r="B82" s="75" t="s">
        <v>314</v>
      </c>
      <c r="C82" s="218">
        <v>52736587</v>
      </c>
      <c r="D82" s="218">
        <v>53439355</v>
      </c>
      <c r="E82" s="90">
        <v>1602768</v>
      </c>
      <c r="F82" s="510">
        <f t="shared" si="11"/>
        <v>2.9992278162788454E-2</v>
      </c>
      <c r="G82" s="90">
        <v>1602768</v>
      </c>
      <c r="H82" s="510">
        <f t="shared" si="13"/>
        <v>2.9992278162788454E-2</v>
      </c>
      <c r="I82" s="90">
        <v>702768</v>
      </c>
      <c r="J82" s="525">
        <f t="shared" si="14"/>
        <v>1.3150757526920001E-2</v>
      </c>
      <c r="K82" s="76">
        <v>0</v>
      </c>
      <c r="L82" s="80">
        <v>0</v>
      </c>
      <c r="M82" s="204" t="s">
        <v>135</v>
      </c>
      <c r="N82" s="63" t="s">
        <v>382</v>
      </c>
      <c r="P82" s="427"/>
    </row>
    <row r="83" spans="1:16" ht="15" customHeight="1" x14ac:dyDescent="0.2">
      <c r="A83" s="75"/>
      <c r="B83" s="75" t="s">
        <v>315</v>
      </c>
      <c r="C83" s="218">
        <v>2726590</v>
      </c>
      <c r="D83" s="218">
        <v>2726590</v>
      </c>
      <c r="E83" s="90">
        <v>2726590</v>
      </c>
      <c r="F83" s="510">
        <f t="shared" si="11"/>
        <v>1</v>
      </c>
      <c r="G83" s="90">
        <v>2726590</v>
      </c>
      <c r="H83" s="510">
        <f t="shared" si="13"/>
        <v>1</v>
      </c>
      <c r="I83" s="90">
        <v>910000</v>
      </c>
      <c r="J83" s="525">
        <f t="shared" si="14"/>
        <v>0.33375021547060613</v>
      </c>
      <c r="K83" s="76">
        <v>958000</v>
      </c>
      <c r="L83" s="80">
        <v>0.35135462244048427</v>
      </c>
      <c r="M83" s="204">
        <f t="shared" si="12"/>
        <v>-5.0104384133611735E-2</v>
      </c>
      <c r="N83" s="64" t="s">
        <v>383</v>
      </c>
      <c r="P83" s="427"/>
    </row>
    <row r="84" spans="1:16" ht="15" customHeight="1" x14ac:dyDescent="0.2">
      <c r="A84" s="75"/>
      <c r="B84" s="75" t="s">
        <v>316</v>
      </c>
      <c r="C84" s="218">
        <v>2730474</v>
      </c>
      <c r="D84" s="218">
        <v>3030474</v>
      </c>
      <c r="E84" s="90">
        <v>2637025.67</v>
      </c>
      <c r="F84" s="510">
        <f t="shared" si="11"/>
        <v>0.87016937614379797</v>
      </c>
      <c r="G84" s="90">
        <v>2637025.67</v>
      </c>
      <c r="H84" s="510">
        <f t="shared" si="13"/>
        <v>0.87016937614379797</v>
      </c>
      <c r="I84" s="90">
        <v>650000</v>
      </c>
      <c r="J84" s="525">
        <f t="shared" si="14"/>
        <v>0.21448789859276141</v>
      </c>
      <c r="K84" s="76">
        <v>700000</v>
      </c>
      <c r="L84" s="80">
        <v>0.26510813382052634</v>
      </c>
      <c r="M84" s="204">
        <f t="shared" si="12"/>
        <v>-7.1428571428571397E-2</v>
      </c>
      <c r="N84" s="64" t="s">
        <v>384</v>
      </c>
      <c r="P84" s="427"/>
    </row>
    <row r="85" spans="1:16" ht="15" customHeight="1" x14ac:dyDescent="0.2">
      <c r="A85" s="75"/>
      <c r="B85" s="75" t="s">
        <v>317</v>
      </c>
      <c r="C85" s="218"/>
      <c r="D85" s="218"/>
      <c r="E85" s="90"/>
      <c r="F85" s="510"/>
      <c r="G85" s="90"/>
      <c r="H85" s="510"/>
      <c r="I85" s="90"/>
      <c r="J85" s="525"/>
      <c r="K85" s="76"/>
      <c r="L85" s="80" t="s">
        <v>135</v>
      </c>
      <c r="M85" s="204" t="s">
        <v>135</v>
      </c>
      <c r="N85" s="64" t="s">
        <v>385</v>
      </c>
      <c r="P85" s="428"/>
    </row>
    <row r="86" spans="1:16" ht="15" customHeight="1" x14ac:dyDescent="0.2">
      <c r="A86" s="75"/>
      <c r="B86" s="75" t="s">
        <v>318</v>
      </c>
      <c r="C86" s="218"/>
      <c r="D86" s="218"/>
      <c r="E86" s="90"/>
      <c r="F86" s="510"/>
      <c r="G86" s="90"/>
      <c r="H86" s="510"/>
      <c r="I86" s="90"/>
      <c r="J86" s="525"/>
      <c r="K86" s="76"/>
      <c r="L86" s="80" t="s">
        <v>135</v>
      </c>
      <c r="M86" s="204" t="s">
        <v>135</v>
      </c>
      <c r="N86" s="64" t="s">
        <v>386</v>
      </c>
      <c r="P86" s="427"/>
    </row>
    <row r="87" spans="1:16" ht="15" customHeight="1" x14ac:dyDescent="0.2">
      <c r="A87" s="75"/>
      <c r="B87" s="75" t="s">
        <v>319</v>
      </c>
      <c r="C87" s="218">
        <v>4843478</v>
      </c>
      <c r="D87" s="218">
        <v>4843478</v>
      </c>
      <c r="E87" s="90">
        <v>4843478</v>
      </c>
      <c r="F87" s="510">
        <f t="shared" ref="F87" si="15">+E87/D87</f>
        <v>1</v>
      </c>
      <c r="G87" s="90">
        <v>4843478</v>
      </c>
      <c r="H87" s="510">
        <f t="shared" si="13"/>
        <v>1</v>
      </c>
      <c r="I87" s="90">
        <v>1212000</v>
      </c>
      <c r="J87" s="525">
        <f t="shared" si="14"/>
        <v>0.25023340665530019</v>
      </c>
      <c r="K87" s="76">
        <v>1600000</v>
      </c>
      <c r="L87" s="80">
        <v>0.32696581041132705</v>
      </c>
      <c r="M87" s="204"/>
      <c r="N87" s="64" t="s">
        <v>387</v>
      </c>
      <c r="P87" s="428"/>
    </row>
    <row r="88" spans="1:16" ht="15" customHeight="1" x14ac:dyDescent="0.2">
      <c r="A88" s="75"/>
      <c r="B88" s="75" t="s">
        <v>320</v>
      </c>
      <c r="C88" s="218"/>
      <c r="D88" s="218"/>
      <c r="E88" s="90"/>
      <c r="F88" s="510"/>
      <c r="G88" s="90"/>
      <c r="H88" s="510"/>
      <c r="I88" s="90"/>
      <c r="J88" s="525"/>
      <c r="K88" s="76"/>
      <c r="L88" s="80" t="s">
        <v>135</v>
      </c>
      <c r="M88" s="204" t="s">
        <v>135</v>
      </c>
      <c r="N88" s="64" t="s">
        <v>388</v>
      </c>
      <c r="P88" s="427"/>
    </row>
    <row r="89" spans="1:16" ht="15" customHeight="1" x14ac:dyDescent="0.2">
      <c r="A89" s="75"/>
      <c r="B89" s="82" t="s">
        <v>321</v>
      </c>
      <c r="C89" s="218"/>
      <c r="D89" s="218"/>
      <c r="E89" s="90"/>
      <c r="F89" s="510"/>
      <c r="G89" s="90"/>
      <c r="H89" s="510"/>
      <c r="I89" s="90"/>
      <c r="J89" s="525"/>
      <c r="K89" s="76"/>
      <c r="L89" s="80" t="s">
        <v>135</v>
      </c>
      <c r="M89" s="204" t="s">
        <v>135</v>
      </c>
      <c r="N89" s="64" t="s">
        <v>389</v>
      </c>
      <c r="P89" s="427"/>
    </row>
    <row r="90" spans="1:16" ht="15" customHeight="1" x14ac:dyDescent="0.2">
      <c r="A90" s="75"/>
      <c r="B90" s="82" t="s">
        <v>423</v>
      </c>
      <c r="C90" s="218"/>
      <c r="D90" s="218"/>
      <c r="E90" s="90"/>
      <c r="F90" s="510"/>
      <c r="G90" s="90"/>
      <c r="H90" s="510"/>
      <c r="I90" s="90"/>
      <c r="J90" s="525"/>
      <c r="K90" s="76"/>
      <c r="L90" s="80" t="s">
        <v>135</v>
      </c>
      <c r="M90" s="204" t="s">
        <v>135</v>
      </c>
      <c r="N90" s="64">
        <v>44438</v>
      </c>
      <c r="P90" s="427"/>
    </row>
    <row r="91" spans="1:16" ht="15" customHeight="1" x14ac:dyDescent="0.2">
      <c r="A91" s="75"/>
      <c r="B91" s="82" t="s">
        <v>479</v>
      </c>
      <c r="C91" s="218"/>
      <c r="D91" s="218"/>
      <c r="E91" s="90"/>
      <c r="F91" s="510"/>
      <c r="G91" s="90"/>
      <c r="H91" s="510"/>
      <c r="I91" s="90"/>
      <c r="J91" s="525"/>
      <c r="K91" s="76">
        <v>1962488.72</v>
      </c>
      <c r="L91" s="80">
        <v>1</v>
      </c>
      <c r="M91" s="204" t="s">
        <v>135</v>
      </c>
      <c r="N91" s="64" t="s">
        <v>496</v>
      </c>
      <c r="P91" s="427"/>
    </row>
    <row r="92" spans="1:16" ht="15" customHeight="1" x14ac:dyDescent="0.2">
      <c r="A92" s="75"/>
      <c r="B92" s="75" t="s">
        <v>322</v>
      </c>
      <c r="C92" s="218">
        <v>12029885</v>
      </c>
      <c r="D92" s="218">
        <v>12029885</v>
      </c>
      <c r="E92" s="90">
        <v>0</v>
      </c>
      <c r="F92" s="510" t="s">
        <v>135</v>
      </c>
      <c r="G92" s="90">
        <v>0</v>
      </c>
      <c r="H92" s="510" t="s">
        <v>135</v>
      </c>
      <c r="I92" s="90">
        <v>0</v>
      </c>
      <c r="J92" s="525" t="s">
        <v>135</v>
      </c>
      <c r="K92" s="76">
        <v>0</v>
      </c>
      <c r="L92" s="80">
        <v>0</v>
      </c>
      <c r="M92" s="204" t="s">
        <v>135</v>
      </c>
      <c r="N92" s="64" t="s">
        <v>391</v>
      </c>
      <c r="P92" s="428"/>
    </row>
    <row r="93" spans="1:16" ht="15" customHeight="1" x14ac:dyDescent="0.2">
      <c r="A93" s="75"/>
      <c r="B93" s="75" t="s">
        <v>323</v>
      </c>
      <c r="C93" s="218">
        <v>4129996.75</v>
      </c>
      <c r="D93" s="218">
        <v>4129996.75</v>
      </c>
      <c r="E93" s="90">
        <v>0</v>
      </c>
      <c r="F93" s="510" t="s">
        <v>135</v>
      </c>
      <c r="G93" s="90">
        <v>0</v>
      </c>
      <c r="H93" s="510" t="s">
        <v>135</v>
      </c>
      <c r="I93" s="90">
        <v>0</v>
      </c>
      <c r="J93" s="525" t="s">
        <v>135</v>
      </c>
      <c r="K93" s="76">
        <v>0</v>
      </c>
      <c r="L93" s="80">
        <v>0</v>
      </c>
      <c r="M93" s="204"/>
      <c r="N93" s="64" t="s">
        <v>392</v>
      </c>
      <c r="P93" s="428"/>
    </row>
    <row r="94" spans="1:16" ht="15" customHeight="1" x14ac:dyDescent="0.2">
      <c r="A94" s="87"/>
      <c r="B94" s="138" t="s">
        <v>390</v>
      </c>
      <c r="C94" s="213"/>
      <c r="D94" s="218"/>
      <c r="E94" s="90"/>
      <c r="F94" s="148"/>
      <c r="G94" s="88"/>
      <c r="H94" s="148"/>
      <c r="I94" s="88"/>
      <c r="J94" s="225"/>
      <c r="K94" s="76"/>
      <c r="L94" s="80" t="s">
        <v>135</v>
      </c>
      <c r="M94" s="204" t="s">
        <v>135</v>
      </c>
      <c r="N94" s="137" t="s">
        <v>393</v>
      </c>
      <c r="P94" s="428"/>
    </row>
    <row r="95" spans="1:16" ht="15" customHeight="1" x14ac:dyDescent="0.2">
      <c r="A95" s="77"/>
      <c r="B95" s="77" t="s">
        <v>324</v>
      </c>
      <c r="C95" s="214">
        <v>479279.81</v>
      </c>
      <c r="D95" s="219">
        <v>479279.81</v>
      </c>
      <c r="E95" s="78">
        <v>0</v>
      </c>
      <c r="F95" s="511" t="s">
        <v>135</v>
      </c>
      <c r="G95" s="78">
        <v>0</v>
      </c>
      <c r="H95" s="511" t="s">
        <v>135</v>
      </c>
      <c r="I95" s="78">
        <v>0</v>
      </c>
      <c r="J95" s="526" t="s">
        <v>135</v>
      </c>
      <c r="K95" s="76">
        <v>0</v>
      </c>
      <c r="L95" s="80">
        <v>0</v>
      </c>
      <c r="M95" s="204"/>
      <c r="N95" s="64" t="s">
        <v>394</v>
      </c>
      <c r="P95" s="427"/>
    </row>
    <row r="96" spans="1:16" ht="15" customHeight="1" x14ac:dyDescent="0.2">
      <c r="A96" s="59"/>
      <c r="B96" s="59" t="s">
        <v>497</v>
      </c>
      <c r="C96" s="214">
        <v>8561000</v>
      </c>
      <c r="D96" s="218">
        <v>8561000</v>
      </c>
      <c r="E96" s="90">
        <v>8561000</v>
      </c>
      <c r="F96" s="512">
        <f>+E96/D96</f>
        <v>1</v>
      </c>
      <c r="G96" s="88">
        <v>8561000</v>
      </c>
      <c r="H96" s="511">
        <f t="shared" si="13"/>
        <v>1</v>
      </c>
      <c r="I96" s="60">
        <v>3200000</v>
      </c>
      <c r="J96" s="526">
        <f t="shared" si="14"/>
        <v>0.37378810886578673</v>
      </c>
      <c r="K96" s="76">
        <v>4388000</v>
      </c>
      <c r="L96" s="80"/>
      <c r="M96" s="204" t="s">
        <v>135</v>
      </c>
      <c r="N96" s="64">
        <v>44453</v>
      </c>
      <c r="P96" s="428"/>
    </row>
    <row r="97" spans="1:16" ht="15" customHeight="1" x14ac:dyDescent="0.2">
      <c r="A97" s="73"/>
      <c r="B97" s="274" t="s">
        <v>369</v>
      </c>
      <c r="C97" s="212"/>
      <c r="D97" s="275"/>
      <c r="E97" s="74"/>
      <c r="F97" s="276" t="s">
        <v>135</v>
      </c>
      <c r="G97" s="74"/>
      <c r="H97" s="276" t="s">
        <v>135</v>
      </c>
      <c r="I97" s="74"/>
      <c r="J97" s="277" t="s">
        <v>135</v>
      </c>
      <c r="K97" s="76"/>
      <c r="L97" s="80" t="s">
        <v>135</v>
      </c>
      <c r="M97" s="204" t="s">
        <v>135</v>
      </c>
      <c r="N97" s="64">
        <v>449</v>
      </c>
      <c r="P97" s="428"/>
    </row>
    <row r="98" spans="1:16" ht="15" customHeight="1" x14ac:dyDescent="0.2">
      <c r="A98" s="142"/>
      <c r="B98" s="143" t="s">
        <v>350</v>
      </c>
      <c r="C98" s="222">
        <f>SUM(C67:C97)</f>
        <v>528646574.61000001</v>
      </c>
      <c r="D98" s="226">
        <f>SUM(D67:D97)</f>
        <v>556419332.3499999</v>
      </c>
      <c r="E98" s="144">
        <f>SUM(E67:E97)</f>
        <v>424553728.21000004</v>
      </c>
      <c r="F98" s="513">
        <f>E98/D98</f>
        <v>0.76301038358413198</v>
      </c>
      <c r="G98" s="144">
        <f>SUM(G67:G97)</f>
        <v>424553728.21000004</v>
      </c>
      <c r="H98" s="517">
        <f t="shared" si="13"/>
        <v>0.76301038358413198</v>
      </c>
      <c r="I98" s="144">
        <f>SUM(I67:I97)</f>
        <v>93702589</v>
      </c>
      <c r="J98" s="527">
        <f t="shared" si="14"/>
        <v>0.16840282778143845</v>
      </c>
      <c r="K98" s="144">
        <v>101024945</v>
      </c>
      <c r="L98" s="145">
        <v>0.192</v>
      </c>
      <c r="M98" s="285">
        <f t="shared" si="12"/>
        <v>-7.2480672966463877E-2</v>
      </c>
      <c r="P98" s="428"/>
    </row>
    <row r="99" spans="1:16" ht="15" customHeight="1" x14ac:dyDescent="0.2">
      <c r="A99" s="89"/>
      <c r="B99" s="278" t="s">
        <v>448</v>
      </c>
      <c r="C99" s="215">
        <v>4032000</v>
      </c>
      <c r="D99" s="280">
        <v>4032000</v>
      </c>
      <c r="E99" s="90">
        <v>0</v>
      </c>
      <c r="F99" s="433" t="s">
        <v>135</v>
      </c>
      <c r="G99" s="90">
        <v>0</v>
      </c>
      <c r="H99" s="433" t="s">
        <v>135</v>
      </c>
      <c r="I99" s="90">
        <v>0</v>
      </c>
      <c r="J99" s="323" t="s">
        <v>135</v>
      </c>
      <c r="K99" s="291">
        <v>0</v>
      </c>
      <c r="L99" s="115">
        <v>0</v>
      </c>
      <c r="M99" s="435" t="s">
        <v>135</v>
      </c>
      <c r="N99" s="137" t="s">
        <v>480</v>
      </c>
      <c r="P99" s="428"/>
    </row>
    <row r="100" spans="1:16" ht="15" customHeight="1" x14ac:dyDescent="0.2">
      <c r="A100" s="75"/>
      <c r="B100" s="279" t="s">
        <v>405</v>
      </c>
      <c r="C100" s="215">
        <v>40000</v>
      </c>
      <c r="D100" s="280">
        <v>40000</v>
      </c>
      <c r="E100" s="90">
        <v>36232.42</v>
      </c>
      <c r="F100" s="510">
        <f>+E100/D100</f>
        <v>0.90581049999999996</v>
      </c>
      <c r="G100" s="90">
        <v>36232.42</v>
      </c>
      <c r="H100" s="433">
        <f>+G100/E100</f>
        <v>1</v>
      </c>
      <c r="I100" s="90">
        <v>0</v>
      </c>
      <c r="J100" s="433" t="s">
        <v>135</v>
      </c>
      <c r="K100" s="291">
        <v>0</v>
      </c>
      <c r="L100" s="313">
        <v>0</v>
      </c>
      <c r="M100" s="434" t="s">
        <v>135</v>
      </c>
      <c r="N100" s="137">
        <v>46101</v>
      </c>
      <c r="P100" s="428"/>
    </row>
    <row r="101" spans="1:16" ht="15" customHeight="1" x14ac:dyDescent="0.2">
      <c r="A101" s="75"/>
      <c r="B101" s="279" t="s">
        <v>420</v>
      </c>
      <c r="C101" s="215"/>
      <c r="D101" s="280"/>
      <c r="E101" s="90"/>
      <c r="F101" s="510"/>
      <c r="G101" s="90"/>
      <c r="H101" s="433"/>
      <c r="I101" s="90"/>
      <c r="J101" s="323"/>
      <c r="K101" s="76">
        <v>0</v>
      </c>
      <c r="L101" s="80" t="s">
        <v>135</v>
      </c>
      <c r="M101" s="204" t="s">
        <v>135</v>
      </c>
      <c r="N101" s="137">
        <v>46102</v>
      </c>
      <c r="P101" s="428"/>
    </row>
    <row r="102" spans="1:16" ht="15" customHeight="1" x14ac:dyDescent="0.2">
      <c r="A102" s="89"/>
      <c r="B102" s="278" t="s">
        <v>444</v>
      </c>
      <c r="C102" s="215"/>
      <c r="D102" s="280"/>
      <c r="E102" s="90"/>
      <c r="F102" s="510"/>
      <c r="G102" s="90"/>
      <c r="H102" s="433"/>
      <c r="I102" s="90"/>
      <c r="J102" s="323"/>
      <c r="K102" s="90">
        <v>0</v>
      </c>
      <c r="L102" s="115" t="s">
        <v>135</v>
      </c>
      <c r="M102" s="204" t="s">
        <v>135</v>
      </c>
      <c r="N102" s="137">
        <v>462</v>
      </c>
      <c r="P102" s="428"/>
    </row>
    <row r="103" spans="1:16" ht="15" customHeight="1" x14ac:dyDescent="0.2">
      <c r="A103" s="89"/>
      <c r="B103" s="89" t="s">
        <v>325</v>
      </c>
      <c r="C103" s="215"/>
      <c r="D103" s="280"/>
      <c r="E103" s="90"/>
      <c r="F103" s="86"/>
      <c r="G103" s="90"/>
      <c r="H103" s="86"/>
      <c r="I103" s="90"/>
      <c r="J103" s="193"/>
      <c r="K103" s="90">
        <v>0</v>
      </c>
      <c r="L103" s="115" t="s">
        <v>135</v>
      </c>
      <c r="M103" s="204" t="s">
        <v>135</v>
      </c>
      <c r="N103" s="64">
        <v>463</v>
      </c>
      <c r="P103" s="428"/>
    </row>
    <row r="104" spans="1:16" ht="15" customHeight="1" x14ac:dyDescent="0.2">
      <c r="A104" s="75"/>
      <c r="B104" s="75" t="s">
        <v>326</v>
      </c>
      <c r="C104" s="215">
        <v>54878421</v>
      </c>
      <c r="D104" s="280">
        <v>54878421</v>
      </c>
      <c r="E104" s="90">
        <v>54878421</v>
      </c>
      <c r="F104" s="510">
        <f t="shared" ref="F104:F127" si="16">+E104/D104</f>
        <v>1</v>
      </c>
      <c r="G104" s="90">
        <v>54878421</v>
      </c>
      <c r="H104" s="510">
        <f t="shared" si="13"/>
        <v>1</v>
      </c>
      <c r="I104" s="90">
        <v>3938850.75</v>
      </c>
      <c r="J104" s="525">
        <f t="shared" si="14"/>
        <v>7.1774126846688976E-2</v>
      </c>
      <c r="K104" s="76">
        <v>0</v>
      </c>
      <c r="L104" s="80">
        <v>0</v>
      </c>
      <c r="M104" s="204" t="s">
        <v>135</v>
      </c>
      <c r="N104" s="64">
        <v>46401</v>
      </c>
      <c r="P104" s="428"/>
    </row>
    <row r="105" spans="1:16" ht="15" customHeight="1" x14ac:dyDescent="0.2">
      <c r="A105" s="75"/>
      <c r="B105" s="75" t="s">
        <v>327</v>
      </c>
      <c r="C105" s="215">
        <v>910000</v>
      </c>
      <c r="D105" s="280">
        <v>1997000</v>
      </c>
      <c r="E105" s="90">
        <v>110000</v>
      </c>
      <c r="F105" s="510">
        <f t="shared" si="16"/>
        <v>5.5082623935903859E-2</v>
      </c>
      <c r="G105" s="90">
        <v>110000</v>
      </c>
      <c r="H105" s="510">
        <f t="shared" si="13"/>
        <v>5.5082623935903859E-2</v>
      </c>
      <c r="I105" s="90">
        <v>0</v>
      </c>
      <c r="J105" s="525" t="s">
        <v>135</v>
      </c>
      <c r="K105" s="76">
        <v>0</v>
      </c>
      <c r="L105" s="80">
        <v>0</v>
      </c>
      <c r="M105" s="204" t="s">
        <v>135</v>
      </c>
      <c r="N105" s="64">
        <v>46410</v>
      </c>
      <c r="P105" s="428"/>
    </row>
    <row r="106" spans="1:16" ht="15" customHeight="1" thickBot="1" x14ac:dyDescent="0.25">
      <c r="A106" s="77"/>
      <c r="B106" s="77" t="s">
        <v>328</v>
      </c>
      <c r="C106" s="197">
        <v>89194580.229999989</v>
      </c>
      <c r="D106" s="479">
        <v>89859608.089999989</v>
      </c>
      <c r="E106" s="90">
        <v>89761857.429999992</v>
      </c>
      <c r="F106" s="511">
        <f t="shared" si="16"/>
        <v>0.99891218466140985</v>
      </c>
      <c r="G106" s="90">
        <v>89761857.429999992</v>
      </c>
      <c r="H106" s="511">
        <f t="shared" si="13"/>
        <v>0.99891218466140985</v>
      </c>
      <c r="I106" s="90">
        <v>10792127.07</v>
      </c>
      <c r="J106" s="526">
        <f t="shared" si="14"/>
        <v>0.12009986799843389</v>
      </c>
      <c r="K106" s="78">
        <v>8563916.5399999991</v>
      </c>
      <c r="L106" s="81">
        <v>9.5022164822209709E-2</v>
      </c>
      <c r="M106" s="205">
        <f t="shared" si="12"/>
        <v>0.26018592306365496</v>
      </c>
      <c r="N106" s="64" t="s">
        <v>334</v>
      </c>
      <c r="P106" s="428"/>
    </row>
    <row r="107" spans="1:16" ht="15" customHeight="1" x14ac:dyDescent="0.2">
      <c r="A107" s="67"/>
      <c r="B107" s="67" t="s">
        <v>329</v>
      </c>
      <c r="C107" s="481">
        <v>5830790</v>
      </c>
      <c r="D107" s="480">
        <v>5830790</v>
      </c>
      <c r="E107" s="68">
        <v>5830790</v>
      </c>
      <c r="F107" s="514">
        <f t="shared" si="16"/>
        <v>1</v>
      </c>
      <c r="G107" s="68">
        <v>5830790</v>
      </c>
      <c r="H107" s="514">
        <f t="shared" si="13"/>
        <v>1</v>
      </c>
      <c r="I107" s="68">
        <v>0</v>
      </c>
      <c r="J107" s="528">
        <f t="shared" si="14"/>
        <v>0</v>
      </c>
      <c r="K107" s="68">
        <v>0</v>
      </c>
      <c r="L107" s="69">
        <v>0</v>
      </c>
      <c r="M107" s="206"/>
      <c r="N107" s="64">
        <v>465</v>
      </c>
      <c r="P107" s="428"/>
    </row>
    <row r="108" spans="1:16" ht="15" customHeight="1" x14ac:dyDescent="0.2">
      <c r="A108" s="73"/>
      <c r="B108" s="73" t="s">
        <v>330</v>
      </c>
      <c r="C108" s="213">
        <v>116594341</v>
      </c>
      <c r="D108" s="218">
        <v>116257341</v>
      </c>
      <c r="E108" s="76">
        <v>100924325</v>
      </c>
      <c r="F108" s="433">
        <f t="shared" si="16"/>
        <v>0.86811141672335346</v>
      </c>
      <c r="G108" s="76">
        <v>100924325</v>
      </c>
      <c r="H108" s="433">
        <f t="shared" si="13"/>
        <v>0.86811141672335346</v>
      </c>
      <c r="I108" s="76">
        <v>25231081.260000002</v>
      </c>
      <c r="J108" s="277">
        <f t="shared" si="14"/>
        <v>0.21702785426685445</v>
      </c>
      <c r="K108" s="74">
        <v>21045000</v>
      </c>
      <c r="L108" s="79">
        <v>0.24999096834126316</v>
      </c>
      <c r="M108" s="203">
        <f t="shared" si="12"/>
        <v>0.19891096507483974</v>
      </c>
      <c r="N108" s="64">
        <v>46701</v>
      </c>
      <c r="P108" s="428"/>
    </row>
    <row r="109" spans="1:16" ht="15" customHeight="1" x14ac:dyDescent="0.2">
      <c r="A109" s="75"/>
      <c r="B109" s="75" t="s">
        <v>331</v>
      </c>
      <c r="C109" s="213">
        <v>59615875.520000003</v>
      </c>
      <c r="D109" s="218">
        <v>60261278.32</v>
      </c>
      <c r="E109" s="76">
        <v>59576495.049999997</v>
      </c>
      <c r="F109" s="510">
        <f t="shared" ref="F109:F121" si="17">+E109/D109</f>
        <v>0.98863642974243493</v>
      </c>
      <c r="G109" s="76">
        <v>59576495.049999997</v>
      </c>
      <c r="H109" s="433">
        <f t="shared" si="13"/>
        <v>0.98863642974243493</v>
      </c>
      <c r="I109" s="76">
        <v>14895317.5</v>
      </c>
      <c r="J109" s="525">
        <f t="shared" ref="J109:J122" si="18">I109/D109</f>
        <v>0.24717891679799334</v>
      </c>
      <c r="K109" s="76">
        <v>14580000</v>
      </c>
      <c r="L109" s="80">
        <v>0.25008266539965479</v>
      </c>
      <c r="M109" s="204">
        <f>+I109/K109-1</f>
        <v>2.1626714677640546E-2</v>
      </c>
      <c r="N109" s="64">
        <v>46703</v>
      </c>
      <c r="P109" s="428"/>
    </row>
    <row r="110" spans="1:16" ht="15" customHeight="1" x14ac:dyDescent="0.2">
      <c r="A110" s="75"/>
      <c r="B110" s="75" t="s">
        <v>342</v>
      </c>
      <c r="C110" s="213"/>
      <c r="D110" s="218"/>
      <c r="E110" s="76"/>
      <c r="F110" s="510"/>
      <c r="G110" s="76"/>
      <c r="H110" s="433"/>
      <c r="I110" s="76"/>
      <c r="J110" s="525"/>
      <c r="K110" s="76"/>
      <c r="L110" s="80"/>
      <c r="M110" s="204"/>
      <c r="N110" s="64" t="s">
        <v>402</v>
      </c>
      <c r="P110" s="428"/>
    </row>
    <row r="111" spans="1:16" ht="15" customHeight="1" x14ac:dyDescent="0.2">
      <c r="A111" s="75"/>
      <c r="B111" s="75" t="s">
        <v>343</v>
      </c>
      <c r="C111" s="213">
        <v>1514016</v>
      </c>
      <c r="D111" s="218">
        <v>1514016</v>
      </c>
      <c r="E111" s="76">
        <v>1142000</v>
      </c>
      <c r="F111" s="510">
        <f>+E111/D111</f>
        <v>0.75428529156891344</v>
      </c>
      <c r="G111" s="76">
        <v>1142000</v>
      </c>
      <c r="H111" s="433">
        <f t="shared" si="13"/>
        <v>0.75428529156891344</v>
      </c>
      <c r="I111" s="76">
        <v>285000</v>
      </c>
      <c r="J111" s="525">
        <f t="shared" si="18"/>
        <v>0.18824107539154145</v>
      </c>
      <c r="K111" s="76">
        <v>285000</v>
      </c>
      <c r="L111" s="80">
        <v>0.18974700399467376</v>
      </c>
      <c r="M111" s="204">
        <f t="shared" ref="M111" si="19">+I111/K111-1</f>
        <v>0</v>
      </c>
      <c r="N111" s="64" t="s">
        <v>403</v>
      </c>
      <c r="P111" s="428"/>
    </row>
    <row r="112" spans="1:16" ht="15" customHeight="1" x14ac:dyDescent="0.2">
      <c r="A112" s="75"/>
      <c r="B112" s="75" t="s">
        <v>341</v>
      </c>
      <c r="C112" s="213">
        <v>271003.62</v>
      </c>
      <c r="D112" s="218">
        <v>271003.62</v>
      </c>
      <c r="E112" s="76">
        <v>0</v>
      </c>
      <c r="F112" s="510">
        <f t="shared" si="17"/>
        <v>0</v>
      </c>
      <c r="G112" s="76">
        <v>0</v>
      </c>
      <c r="H112" s="433">
        <f t="shared" si="13"/>
        <v>0</v>
      </c>
      <c r="I112" s="76">
        <v>0</v>
      </c>
      <c r="J112" s="525" t="s">
        <v>135</v>
      </c>
      <c r="K112" s="76">
        <v>0</v>
      </c>
      <c r="L112" s="80">
        <v>0</v>
      </c>
      <c r="M112" s="204"/>
      <c r="N112" s="64" t="s">
        <v>398</v>
      </c>
      <c r="P112" s="428"/>
    </row>
    <row r="113" spans="1:16" ht="15" customHeight="1" x14ac:dyDescent="0.2">
      <c r="A113" s="75"/>
      <c r="B113" s="75" t="s">
        <v>338</v>
      </c>
      <c r="C113" s="213">
        <v>15540453.550000001</v>
      </c>
      <c r="D113" s="218">
        <v>15540453.550000001</v>
      </c>
      <c r="E113" s="76">
        <v>15409576.619999999</v>
      </c>
      <c r="F113" s="510">
        <f t="shared" si="17"/>
        <v>0.99157830692785653</v>
      </c>
      <c r="G113" s="76">
        <v>15409576.619999999</v>
      </c>
      <c r="H113" s="433">
        <f t="shared" si="13"/>
        <v>0.99157830692785653</v>
      </c>
      <c r="I113" s="76">
        <v>3885000</v>
      </c>
      <c r="J113" s="525">
        <f t="shared" si="18"/>
        <v>0.24999270372002752</v>
      </c>
      <c r="K113" s="76">
        <v>3852000</v>
      </c>
      <c r="L113" s="80">
        <v>0.24985216723359002</v>
      </c>
      <c r="M113" s="204">
        <f t="shared" ref="M113" si="20">+I113/K113-1</f>
        <v>8.5669781931463351E-3</v>
      </c>
      <c r="N113" s="64" t="s">
        <v>395</v>
      </c>
      <c r="P113" s="428"/>
    </row>
    <row r="114" spans="1:16" ht="15" customHeight="1" x14ac:dyDescent="0.2">
      <c r="A114" s="75"/>
      <c r="B114" s="75" t="s">
        <v>340</v>
      </c>
      <c r="C114" s="213"/>
      <c r="D114" s="218"/>
      <c r="E114" s="76"/>
      <c r="F114" s="148" t="s">
        <v>135</v>
      </c>
      <c r="G114" s="76"/>
      <c r="H114" s="433"/>
      <c r="I114" s="76"/>
      <c r="J114" s="525"/>
      <c r="K114" s="76"/>
      <c r="L114" s="80" t="s">
        <v>135</v>
      </c>
      <c r="M114" s="204"/>
      <c r="N114" s="64" t="s">
        <v>396</v>
      </c>
      <c r="P114" s="428"/>
    </row>
    <row r="115" spans="1:16" ht="15" customHeight="1" x14ac:dyDescent="0.2">
      <c r="A115" s="75"/>
      <c r="B115" s="75" t="s">
        <v>339</v>
      </c>
      <c r="C115" s="213">
        <v>2248848</v>
      </c>
      <c r="D115" s="218">
        <v>2248848</v>
      </c>
      <c r="E115" s="76">
        <v>2248848</v>
      </c>
      <c r="F115" s="510">
        <f t="shared" si="17"/>
        <v>1</v>
      </c>
      <c r="G115" s="76">
        <v>2248848</v>
      </c>
      <c r="H115" s="433">
        <f t="shared" si="13"/>
        <v>1</v>
      </c>
      <c r="I115" s="76">
        <v>750000</v>
      </c>
      <c r="J115" s="525">
        <f t="shared" si="18"/>
        <v>0.3335040874260955</v>
      </c>
      <c r="K115" s="76">
        <v>743000</v>
      </c>
      <c r="L115" s="80">
        <v>0.33303451367099957</v>
      </c>
      <c r="M115" s="204">
        <f t="shared" ref="M115:M119" si="21">+I115/K115-1</f>
        <v>9.421265141319024E-3</v>
      </c>
      <c r="N115" s="64" t="s">
        <v>397</v>
      </c>
      <c r="P115" s="428"/>
    </row>
    <row r="116" spans="1:16" ht="15" customHeight="1" x14ac:dyDescent="0.2">
      <c r="A116" s="75"/>
      <c r="B116" s="75" t="s">
        <v>337</v>
      </c>
      <c r="C116" s="213">
        <v>1919978</v>
      </c>
      <c r="D116" s="218">
        <v>1919978</v>
      </c>
      <c r="E116" s="76">
        <v>908832</v>
      </c>
      <c r="F116" s="510">
        <f t="shared" si="17"/>
        <v>0.47335542386423179</v>
      </c>
      <c r="G116" s="76">
        <v>908832</v>
      </c>
      <c r="H116" s="433">
        <f t="shared" si="13"/>
        <v>0.47335542386423179</v>
      </c>
      <c r="I116" s="76">
        <v>185000</v>
      </c>
      <c r="J116" s="525">
        <f t="shared" si="18"/>
        <v>9.6355270737477197E-2</v>
      </c>
      <c r="K116" s="76">
        <v>185000</v>
      </c>
      <c r="L116" s="80">
        <v>9.6319401382730083E-2</v>
      </c>
      <c r="M116" s="204">
        <f t="shared" si="21"/>
        <v>0</v>
      </c>
      <c r="N116" s="64" t="s">
        <v>401</v>
      </c>
      <c r="P116" s="428"/>
    </row>
    <row r="117" spans="1:16" ht="15" customHeight="1" x14ac:dyDescent="0.2">
      <c r="A117" s="75"/>
      <c r="B117" s="75" t="s">
        <v>335</v>
      </c>
      <c r="C117" s="213">
        <v>155101.56</v>
      </c>
      <c r="D117" s="218">
        <v>155101.56</v>
      </c>
      <c r="E117" s="76">
        <v>155101.56</v>
      </c>
      <c r="F117" s="510">
        <f t="shared" si="17"/>
        <v>1</v>
      </c>
      <c r="G117" s="76">
        <v>155101.56</v>
      </c>
      <c r="H117" s="433">
        <f t="shared" si="13"/>
        <v>1</v>
      </c>
      <c r="I117" s="76">
        <v>0</v>
      </c>
      <c r="J117" s="525" t="s">
        <v>135</v>
      </c>
      <c r="K117" s="76">
        <v>77500</v>
      </c>
      <c r="L117" s="80">
        <v>0.38083246143174532</v>
      </c>
      <c r="M117" s="204">
        <f t="shared" si="21"/>
        <v>-1</v>
      </c>
      <c r="N117" s="64" t="s">
        <v>399</v>
      </c>
      <c r="P117" s="428"/>
    </row>
    <row r="118" spans="1:16" ht="15" customHeight="1" x14ac:dyDescent="0.2">
      <c r="A118" s="75"/>
      <c r="B118" s="75" t="s">
        <v>336</v>
      </c>
      <c r="C118" s="213">
        <v>1008512.45</v>
      </c>
      <c r="D118" s="218">
        <v>1008512.45</v>
      </c>
      <c r="E118" s="76">
        <v>1008512.45</v>
      </c>
      <c r="F118" s="510">
        <f t="shared" si="17"/>
        <v>1</v>
      </c>
      <c r="G118" s="76">
        <v>1008512.45</v>
      </c>
      <c r="H118" s="433">
        <f t="shared" si="13"/>
        <v>1</v>
      </c>
      <c r="I118" s="76">
        <v>335000</v>
      </c>
      <c r="J118" s="525">
        <f t="shared" si="18"/>
        <v>0.332172399061608</v>
      </c>
      <c r="K118" s="76">
        <v>335000</v>
      </c>
      <c r="L118" s="80">
        <v>0.332172399061608</v>
      </c>
      <c r="M118" s="204">
        <f t="shared" si="21"/>
        <v>0</v>
      </c>
      <c r="N118" s="64" t="s">
        <v>400</v>
      </c>
      <c r="P118" s="428"/>
    </row>
    <row r="119" spans="1:16" ht="15" customHeight="1" x14ac:dyDescent="0.2">
      <c r="A119" s="75"/>
      <c r="B119" s="75" t="s">
        <v>333</v>
      </c>
      <c r="C119" s="213">
        <v>2541014</v>
      </c>
      <c r="D119" s="218">
        <v>2541014</v>
      </c>
      <c r="E119" s="76">
        <v>2541014</v>
      </c>
      <c r="F119" s="510">
        <f t="shared" si="17"/>
        <v>1</v>
      </c>
      <c r="G119" s="76">
        <v>2541014</v>
      </c>
      <c r="H119" s="433">
        <f t="shared" si="13"/>
        <v>1</v>
      </c>
      <c r="I119" s="76">
        <v>635000</v>
      </c>
      <c r="J119" s="525">
        <f t="shared" si="18"/>
        <v>0.24990023667716904</v>
      </c>
      <c r="K119" s="76">
        <v>635000</v>
      </c>
      <c r="L119" s="80">
        <v>0.24990023667716904</v>
      </c>
      <c r="M119" s="204">
        <f t="shared" si="21"/>
        <v>0</v>
      </c>
      <c r="N119" s="64">
        <v>46743</v>
      </c>
      <c r="P119" s="428"/>
    </row>
    <row r="120" spans="1:16" ht="15" customHeight="1" x14ac:dyDescent="0.2">
      <c r="A120" s="75"/>
      <c r="B120" s="75" t="s">
        <v>332</v>
      </c>
      <c r="C120" s="213">
        <v>1136412.6100000001</v>
      </c>
      <c r="D120" s="218">
        <v>1136412.6100000001</v>
      </c>
      <c r="E120" s="76">
        <v>1136412.6100000001</v>
      </c>
      <c r="F120" s="510">
        <f t="shared" si="17"/>
        <v>1</v>
      </c>
      <c r="G120" s="76">
        <v>1136412.6100000001</v>
      </c>
      <c r="H120" s="433">
        <f t="shared" si="13"/>
        <v>1</v>
      </c>
      <c r="I120" s="76">
        <v>284000</v>
      </c>
      <c r="J120" s="525">
        <f t="shared" si="18"/>
        <v>0.24990922971190893</v>
      </c>
      <c r="K120" s="76">
        <v>277000</v>
      </c>
      <c r="L120" s="80">
        <v>0.25009032820256621</v>
      </c>
      <c r="M120" s="204">
        <f t="shared" ref="M120:M121" si="22">+I120/K120-1</f>
        <v>2.5270758122743597E-2</v>
      </c>
      <c r="N120" s="64">
        <v>46746</v>
      </c>
      <c r="P120" s="428"/>
    </row>
    <row r="121" spans="1:16" ht="15" customHeight="1" x14ac:dyDescent="0.2">
      <c r="A121" s="75"/>
      <c r="B121" s="75" t="s">
        <v>344</v>
      </c>
      <c r="C121" s="213">
        <v>1890399</v>
      </c>
      <c r="D121" s="218">
        <v>1890399</v>
      </c>
      <c r="E121" s="76">
        <v>1064399</v>
      </c>
      <c r="F121" s="510">
        <f t="shared" si="17"/>
        <v>0.56305520686373622</v>
      </c>
      <c r="G121" s="76">
        <v>1064399</v>
      </c>
      <c r="H121" s="433">
        <f t="shared" si="13"/>
        <v>0.56305520686373622</v>
      </c>
      <c r="I121" s="76">
        <v>0</v>
      </c>
      <c r="J121" s="525" t="s">
        <v>135</v>
      </c>
      <c r="K121" s="76">
        <v>310000</v>
      </c>
      <c r="L121" s="80">
        <v>0.16398654463951789</v>
      </c>
      <c r="M121" s="204">
        <f t="shared" si="22"/>
        <v>-1</v>
      </c>
      <c r="N121" s="64" t="s">
        <v>404</v>
      </c>
      <c r="P121" s="428"/>
    </row>
    <row r="122" spans="1:16" ht="15" customHeight="1" x14ac:dyDescent="0.2">
      <c r="A122" s="77"/>
      <c r="B122" s="77" t="s">
        <v>345</v>
      </c>
      <c r="C122" s="478">
        <v>2186196.83</v>
      </c>
      <c r="D122" s="187">
        <v>3294304.01</v>
      </c>
      <c r="E122" s="78">
        <v>1689963.13</v>
      </c>
      <c r="F122" s="511">
        <f t="shared" si="16"/>
        <v>0.51299549916159681</v>
      </c>
      <c r="G122" s="78">
        <v>1689963.13</v>
      </c>
      <c r="H122" s="433">
        <f t="shared" si="13"/>
        <v>0.51299549916159681</v>
      </c>
      <c r="I122" s="78">
        <v>1618486.0999999999</v>
      </c>
      <c r="J122" s="525">
        <f t="shared" si="18"/>
        <v>0.49129834255946525</v>
      </c>
      <c r="K122" s="78">
        <v>1695877.9299999997</v>
      </c>
      <c r="L122" s="81">
        <v>0.36324741382425185</v>
      </c>
      <c r="M122" s="205">
        <f t="shared" si="12"/>
        <v>-4.563525984443928E-2</v>
      </c>
      <c r="N122" s="64" t="s">
        <v>346</v>
      </c>
      <c r="P122" s="428"/>
    </row>
    <row r="123" spans="1:16" ht="15" customHeight="1" x14ac:dyDescent="0.2">
      <c r="A123" s="73"/>
      <c r="B123" s="73" t="s">
        <v>347</v>
      </c>
      <c r="C123" s="477">
        <v>1126444.52</v>
      </c>
      <c r="D123" s="218">
        <v>1156444.52</v>
      </c>
      <c r="E123" s="90">
        <v>80000</v>
      </c>
      <c r="F123" s="276">
        <f t="shared" si="16"/>
        <v>6.917755120669343E-2</v>
      </c>
      <c r="G123" s="90">
        <v>80000</v>
      </c>
      <c r="H123" s="276">
        <f t="shared" si="13"/>
        <v>6.917755120669343E-2</v>
      </c>
      <c r="I123" s="90">
        <v>0</v>
      </c>
      <c r="J123" s="277">
        <f t="shared" si="14"/>
        <v>0</v>
      </c>
      <c r="K123" s="74">
        <v>0</v>
      </c>
      <c r="L123" s="79">
        <v>0</v>
      </c>
      <c r="M123" s="532">
        <v>-1</v>
      </c>
      <c r="N123" s="64">
        <v>47</v>
      </c>
      <c r="P123" s="428"/>
    </row>
    <row r="124" spans="1:16" ht="15" customHeight="1" x14ac:dyDescent="0.2">
      <c r="A124" s="75"/>
      <c r="B124" s="554" t="s">
        <v>348</v>
      </c>
      <c r="C124" s="213">
        <v>104263033.93000001</v>
      </c>
      <c r="D124" s="218">
        <v>86303698.530000001</v>
      </c>
      <c r="E124" s="76">
        <v>41280748.090000004</v>
      </c>
      <c r="F124" s="510">
        <f t="shared" si="16"/>
        <v>0.47831957138720327</v>
      </c>
      <c r="G124" s="90">
        <v>29758594.010000002</v>
      </c>
      <c r="H124" s="510">
        <f t="shared" si="13"/>
        <v>0.34481249954375509</v>
      </c>
      <c r="I124" s="76">
        <v>12700212.82</v>
      </c>
      <c r="J124" s="525">
        <f t="shared" si="14"/>
        <v>0.14715722542974544</v>
      </c>
      <c r="K124" s="76">
        <v>9392729.0999999996</v>
      </c>
      <c r="L124" s="80">
        <v>0.13640770109245348</v>
      </c>
      <c r="M124" s="204">
        <f t="shared" si="12"/>
        <v>0.35213234458129961</v>
      </c>
      <c r="N124" s="64">
        <v>48</v>
      </c>
      <c r="P124" s="428"/>
    </row>
    <row r="125" spans="1:16" ht="15" customHeight="1" x14ac:dyDescent="0.2">
      <c r="A125" s="77"/>
      <c r="B125" s="77" t="s">
        <v>349</v>
      </c>
      <c r="C125" s="478">
        <v>125828.35</v>
      </c>
      <c r="D125" s="187">
        <v>125828.35</v>
      </c>
      <c r="E125" s="78">
        <v>40374.11</v>
      </c>
      <c r="F125" s="511">
        <f t="shared" si="16"/>
        <v>0.32086656147044762</v>
      </c>
      <c r="G125" s="78">
        <v>40374.11</v>
      </c>
      <c r="H125" s="511">
        <f t="shared" si="13"/>
        <v>0.32086656147044762</v>
      </c>
      <c r="I125" s="78">
        <v>40374.11</v>
      </c>
      <c r="J125" s="526">
        <f t="shared" si="14"/>
        <v>0.32086656147044762</v>
      </c>
      <c r="K125" s="78">
        <v>42095.18</v>
      </c>
      <c r="L125" s="81">
        <v>0.18713230515251561</v>
      </c>
      <c r="M125" s="204">
        <f t="shared" si="12"/>
        <v>-4.0885203484104293E-2</v>
      </c>
      <c r="N125" s="64">
        <v>49</v>
      </c>
      <c r="P125" s="428"/>
    </row>
    <row r="126" spans="1:16" ht="15" customHeight="1" x14ac:dyDescent="0.2">
      <c r="A126" s="65"/>
      <c r="B126" s="65" t="s">
        <v>487</v>
      </c>
      <c r="C126" s="478">
        <v>6477736.8899999997</v>
      </c>
      <c r="D126" s="187">
        <v>1614992.89</v>
      </c>
      <c r="E126" s="66">
        <v>0</v>
      </c>
      <c r="F126" s="512" t="s">
        <v>135</v>
      </c>
      <c r="G126" s="66">
        <v>0</v>
      </c>
      <c r="H126" s="512" t="s">
        <v>135</v>
      </c>
      <c r="I126" s="66">
        <v>0</v>
      </c>
      <c r="J126" s="529" t="s">
        <v>135</v>
      </c>
      <c r="K126" s="66">
        <v>0</v>
      </c>
      <c r="L126" s="417" t="s">
        <v>135</v>
      </c>
      <c r="M126" s="185"/>
      <c r="N126" s="64">
        <v>5</v>
      </c>
      <c r="P126" s="427"/>
    </row>
    <row r="127" spans="1:16" ht="15" customHeight="1" x14ac:dyDescent="0.2">
      <c r="A127" s="83"/>
      <c r="B127" s="84" t="s">
        <v>351</v>
      </c>
      <c r="C127" s="223">
        <f>SUM(C99:C126)</f>
        <v>473500987.06</v>
      </c>
      <c r="D127" s="227">
        <f>SUM(D99:D126)</f>
        <v>453877445.5</v>
      </c>
      <c r="E127" s="85">
        <f>SUM(E99:E126)</f>
        <v>379823902.47000003</v>
      </c>
      <c r="F127" s="515">
        <f t="shared" si="16"/>
        <v>0.83684242571599654</v>
      </c>
      <c r="G127" s="85">
        <f>SUM(G99:G126)</f>
        <v>368301748.38999999</v>
      </c>
      <c r="H127" s="515">
        <f t="shared" si="13"/>
        <v>0.811456378900414</v>
      </c>
      <c r="I127" s="85">
        <f>SUM(I99:I126)</f>
        <v>75575449.609999999</v>
      </c>
      <c r="J127" s="530">
        <f t="shared" si="14"/>
        <v>0.16651069657524986</v>
      </c>
      <c r="K127" s="85">
        <f>SUM(K99:K126)</f>
        <v>62019118.75</v>
      </c>
      <c r="L127" s="515">
        <v>0.14899999999999999</v>
      </c>
      <c r="M127" s="210">
        <f t="shared" si="12"/>
        <v>0.21858309394310771</v>
      </c>
      <c r="P127" s="427"/>
    </row>
    <row r="128" spans="1:16" ht="21" customHeight="1" thickBot="1" x14ac:dyDescent="0.25">
      <c r="A128" s="9"/>
      <c r="B128" s="2" t="s">
        <v>3</v>
      </c>
      <c r="C128" s="181">
        <f>C98+C127</f>
        <v>1002147561.6700001</v>
      </c>
      <c r="D128" s="171">
        <f>D98+D127</f>
        <v>1010296777.8499999</v>
      </c>
      <c r="E128" s="92">
        <f>E98+E127</f>
        <v>804377630.68000007</v>
      </c>
      <c r="F128" s="98">
        <f>+E128/D128</f>
        <v>0.79617954675831604</v>
      </c>
      <c r="G128" s="92">
        <f>G98+G127</f>
        <v>792855476.60000002</v>
      </c>
      <c r="H128" s="98">
        <f t="shared" si="13"/>
        <v>0.78477482456913894</v>
      </c>
      <c r="I128" s="92">
        <f>I98+I127</f>
        <v>169278038.61000001</v>
      </c>
      <c r="J128" s="190">
        <f t="shared" si="14"/>
        <v>0.16755278480669661</v>
      </c>
      <c r="K128" s="92">
        <f>K98+K127</f>
        <v>163044063.75</v>
      </c>
      <c r="L128" s="44">
        <v>0.17162206704611133</v>
      </c>
      <c r="M128" s="162">
        <f t="shared" si="12"/>
        <v>3.8234908506443732E-2</v>
      </c>
      <c r="P128" s="427"/>
    </row>
    <row r="129" spans="1:16" s="6" customFormat="1" ht="19.5" customHeight="1" thickBot="1" x14ac:dyDescent="0.25">
      <c r="A129" s="5"/>
      <c r="B129" s="4" t="s">
        <v>298</v>
      </c>
      <c r="C129" s="182">
        <f>+C11+C57+C61+C128</f>
        <v>1996110606.4500003</v>
      </c>
      <c r="D129" s="173">
        <f>+D11+D57+D61+D128</f>
        <v>2004321803.6299999</v>
      </c>
      <c r="E129" s="174">
        <f>+E11+E57+E61+E128</f>
        <v>1376449103</v>
      </c>
      <c r="F129" s="202">
        <f>+E129/D129</f>
        <v>0.68674057255034182</v>
      </c>
      <c r="G129" s="174">
        <f>+G11+G57+G61+G128</f>
        <v>1338387070.3000002</v>
      </c>
      <c r="H129" s="202">
        <f t="shared" si="13"/>
        <v>0.66775059168446183</v>
      </c>
      <c r="I129" s="174">
        <f>+I11+I57+I61+I128</f>
        <v>239309268.11000001</v>
      </c>
      <c r="J129" s="194">
        <f t="shared" si="14"/>
        <v>0.11939662966126012</v>
      </c>
      <c r="K129" s="165">
        <f>+K11+K57+K61+K128</f>
        <v>240483015.57999998</v>
      </c>
      <c r="L129" s="211">
        <v>0.12644996474213782</v>
      </c>
      <c r="M129" s="164">
        <f t="shared" si="12"/>
        <v>-4.8807915484971875E-3</v>
      </c>
      <c r="N129" s="14"/>
      <c r="P129" s="429"/>
    </row>
    <row r="130" spans="1:16" x14ac:dyDescent="0.2">
      <c r="P130" s="428"/>
    </row>
    <row r="131" spans="1:16" x14ac:dyDescent="0.2">
      <c r="P131" s="428"/>
    </row>
    <row r="132" spans="1:16" x14ac:dyDescent="0.2">
      <c r="P132" s="428"/>
    </row>
    <row r="133" spans="1:16" x14ac:dyDescent="0.2">
      <c r="C133" s="415"/>
      <c r="D133" s="415"/>
      <c r="E133" s="415"/>
      <c r="F133" s="516"/>
      <c r="G133" s="415"/>
      <c r="H133" s="516"/>
      <c r="I133" s="415"/>
      <c r="J133" s="516"/>
      <c r="K133" s="415"/>
      <c r="P133" s="427"/>
    </row>
    <row r="134" spans="1:16" x14ac:dyDescent="0.2">
      <c r="C134" s="47"/>
      <c r="D134" s="47"/>
      <c r="P134" s="428"/>
    </row>
    <row r="135" spans="1:16" x14ac:dyDescent="0.2">
      <c r="I135" s="416"/>
      <c r="K135" s="416"/>
      <c r="P135" s="428"/>
    </row>
    <row r="136" spans="1:16" x14ac:dyDescent="0.2">
      <c r="P136" s="428"/>
    </row>
    <row r="137" spans="1:16" x14ac:dyDescent="0.2">
      <c r="P137" s="428"/>
    </row>
    <row r="138" spans="1:16" x14ac:dyDescent="0.2">
      <c r="P138" s="428"/>
    </row>
    <row r="139" spans="1:16" x14ac:dyDescent="0.2">
      <c r="P139" s="428"/>
    </row>
    <row r="140" spans="1:16" x14ac:dyDescent="0.2">
      <c r="P140" s="428"/>
    </row>
    <row r="141" spans="1:16" x14ac:dyDescent="0.2">
      <c r="C141" s="47"/>
      <c r="D141" s="406"/>
      <c r="P141" s="428"/>
    </row>
    <row r="142" spans="1:16" x14ac:dyDescent="0.2">
      <c r="P142" s="428"/>
    </row>
    <row r="143" spans="1:16" x14ac:dyDescent="0.2">
      <c r="P143" s="428"/>
    </row>
    <row r="144" spans="1:16" x14ac:dyDescent="0.2">
      <c r="P144" s="427"/>
    </row>
    <row r="145" spans="16:16" x14ac:dyDescent="0.2">
      <c r="P145" s="427"/>
    </row>
    <row r="146" spans="16:16" x14ac:dyDescent="0.2">
      <c r="P146" s="427"/>
    </row>
    <row r="147" spans="16:16" x14ac:dyDescent="0.2">
      <c r="P147" s="427"/>
    </row>
    <row r="148" spans="16:16" x14ac:dyDescent="0.2">
      <c r="P148" s="427"/>
    </row>
    <row r="149" spans="16:16" x14ac:dyDescent="0.2">
      <c r="P149" s="428"/>
    </row>
    <row r="150" spans="16:16" x14ac:dyDescent="0.2">
      <c r="P150" s="428"/>
    </row>
    <row r="151" spans="16:16" x14ac:dyDescent="0.2">
      <c r="P151" s="428"/>
    </row>
    <row r="152" spans="16:16" x14ac:dyDescent="0.2">
      <c r="P152" s="428"/>
    </row>
    <row r="153" spans="16:16" x14ac:dyDescent="0.2">
      <c r="P153" s="428"/>
    </row>
    <row r="154" spans="16:16" x14ac:dyDescent="0.2">
      <c r="P154" s="427"/>
    </row>
    <row r="155" spans="16:16" x14ac:dyDescent="0.2">
      <c r="P155" s="427"/>
    </row>
    <row r="156" spans="16:16" x14ac:dyDescent="0.2">
      <c r="P156" s="428"/>
    </row>
    <row r="157" spans="16:16" x14ac:dyDescent="0.2">
      <c r="P157" s="427"/>
    </row>
    <row r="158" spans="16:16" x14ac:dyDescent="0.2">
      <c r="P158" s="428"/>
    </row>
    <row r="159" spans="16:16" x14ac:dyDescent="0.2">
      <c r="P159" s="427"/>
    </row>
    <row r="160" spans="16:16" x14ac:dyDescent="0.2">
      <c r="P160" s="428"/>
    </row>
    <row r="161" spans="16:16" x14ac:dyDescent="0.2">
      <c r="P161" s="428"/>
    </row>
    <row r="162" spans="16:16" x14ac:dyDescent="0.2">
      <c r="P162" s="428"/>
    </row>
    <row r="163" spans="16:16" x14ac:dyDescent="0.2">
      <c r="P163" s="427"/>
    </row>
    <row r="164" spans="16:16" x14ac:dyDescent="0.2">
      <c r="P164" s="428"/>
    </row>
    <row r="165" spans="16:16" x14ac:dyDescent="0.2">
      <c r="P165" s="428"/>
    </row>
    <row r="166" spans="16:16" x14ac:dyDescent="0.2">
      <c r="P166" s="428"/>
    </row>
    <row r="167" spans="16:16" x14ac:dyDescent="0.2">
      <c r="P167" s="428"/>
    </row>
    <row r="168" spans="16:16" x14ac:dyDescent="0.2">
      <c r="P168" s="428"/>
    </row>
    <row r="169" spans="16:16" x14ac:dyDescent="0.2">
      <c r="P169" s="428"/>
    </row>
    <row r="170" spans="16:16" x14ac:dyDescent="0.2">
      <c r="P170" s="428"/>
    </row>
    <row r="171" spans="16:16" x14ac:dyDescent="0.2">
      <c r="P171" s="428"/>
    </row>
    <row r="172" spans="16:16" x14ac:dyDescent="0.2">
      <c r="P172" s="428"/>
    </row>
    <row r="173" spans="16:16" x14ac:dyDescent="0.2">
      <c r="P173" s="428"/>
    </row>
    <row r="174" spans="16:16" x14ac:dyDescent="0.2">
      <c r="P174" s="428"/>
    </row>
    <row r="175" spans="16:16" x14ac:dyDescent="0.2">
      <c r="P175" s="428"/>
    </row>
    <row r="176" spans="16:16" x14ac:dyDescent="0.2">
      <c r="P176" s="428"/>
    </row>
    <row r="177" spans="16:16" x14ac:dyDescent="0.2">
      <c r="P177" s="428"/>
    </row>
    <row r="178" spans="16:16" x14ac:dyDescent="0.2">
      <c r="P178" s="428"/>
    </row>
    <row r="179" spans="16:16" x14ac:dyDescent="0.2">
      <c r="P179" s="428"/>
    </row>
    <row r="180" spans="16:16" x14ac:dyDescent="0.2">
      <c r="P180" s="427"/>
    </row>
    <row r="181" spans="16:16" x14ac:dyDescent="0.2">
      <c r="P181" s="428"/>
    </row>
    <row r="182" spans="16:16" x14ac:dyDescent="0.2">
      <c r="P182" s="428"/>
    </row>
    <row r="183" spans="16:16" x14ac:dyDescent="0.2">
      <c r="P183" s="428"/>
    </row>
    <row r="184" spans="16:16" x14ac:dyDescent="0.2">
      <c r="P184" s="428"/>
    </row>
    <row r="185" spans="16:16" x14ac:dyDescent="0.2">
      <c r="P185" s="428"/>
    </row>
    <row r="186" spans="16:16" x14ac:dyDescent="0.2">
      <c r="P186" s="428"/>
    </row>
    <row r="187" spans="16:16" x14ac:dyDescent="0.2">
      <c r="P187" s="428"/>
    </row>
    <row r="188" spans="16:16" x14ac:dyDescent="0.2">
      <c r="P188" s="428"/>
    </row>
    <row r="189" spans="16:16" x14ac:dyDescent="0.2">
      <c r="P189" s="428"/>
    </row>
    <row r="190" spans="16:16" x14ac:dyDescent="0.2">
      <c r="P190" s="428"/>
    </row>
    <row r="191" spans="16:16" x14ac:dyDescent="0.2">
      <c r="P191" s="428"/>
    </row>
    <row r="192" spans="16:16" x14ac:dyDescent="0.2">
      <c r="P192" s="428"/>
    </row>
    <row r="193" spans="16:16" x14ac:dyDescent="0.2">
      <c r="P193" s="428"/>
    </row>
    <row r="194" spans="16:16" x14ac:dyDescent="0.2">
      <c r="P194" s="428"/>
    </row>
    <row r="195" spans="16:16" x14ac:dyDescent="0.2">
      <c r="P195" s="428"/>
    </row>
    <row r="196" spans="16:16" x14ac:dyDescent="0.2">
      <c r="P196" s="428"/>
    </row>
    <row r="197" spans="16:16" x14ac:dyDescent="0.2">
      <c r="P197" s="428"/>
    </row>
    <row r="198" spans="16:16" x14ac:dyDescent="0.2">
      <c r="P198" s="428"/>
    </row>
    <row r="199" spans="16:16" x14ac:dyDescent="0.2">
      <c r="P199" s="428"/>
    </row>
    <row r="200" spans="16:16" x14ac:dyDescent="0.2">
      <c r="P200" s="428"/>
    </row>
    <row r="201" spans="16:16" x14ac:dyDescent="0.2">
      <c r="P201" s="428"/>
    </row>
    <row r="202" spans="16:16" x14ac:dyDescent="0.2">
      <c r="P202" s="427"/>
    </row>
    <row r="203" spans="16:16" x14ac:dyDescent="0.2">
      <c r="P203" s="427"/>
    </row>
    <row r="204" spans="16:16" x14ac:dyDescent="0.2">
      <c r="P204" s="427"/>
    </row>
    <row r="205" spans="16:16" x14ac:dyDescent="0.2">
      <c r="P205" s="428"/>
    </row>
    <row r="206" spans="16:16" x14ac:dyDescent="0.2">
      <c r="P206" s="428"/>
    </row>
    <row r="207" spans="16:16" x14ac:dyDescent="0.2">
      <c r="P207" s="428"/>
    </row>
    <row r="208" spans="16:16" x14ac:dyDescent="0.2">
      <c r="P208" s="428"/>
    </row>
    <row r="209" spans="16:16" x14ac:dyDescent="0.2">
      <c r="P209" s="428"/>
    </row>
    <row r="210" spans="16:16" x14ac:dyDescent="0.2">
      <c r="P210" s="428"/>
    </row>
    <row r="211" spans="16:16" x14ac:dyDescent="0.2">
      <c r="P211" s="428"/>
    </row>
    <row r="212" spans="16:16" x14ac:dyDescent="0.2">
      <c r="P212" s="427"/>
    </row>
    <row r="213" spans="16:16" x14ac:dyDescent="0.2">
      <c r="P213" s="427"/>
    </row>
    <row r="214" spans="16:16" x14ac:dyDescent="0.2">
      <c r="P214" s="427"/>
    </row>
    <row r="215" spans="16:16" x14ac:dyDescent="0.2">
      <c r="P215" s="428"/>
    </row>
    <row r="216" spans="16:16" x14ac:dyDescent="0.2">
      <c r="P216" s="428"/>
    </row>
  </sheetData>
  <sortState ref="B16:N18">
    <sortCondition ref="N16:N18"/>
  </sortState>
  <mergeCells count="4">
    <mergeCell ref="K2:L2"/>
    <mergeCell ref="K64:L64"/>
    <mergeCell ref="D2:J2"/>
    <mergeCell ref="D64:J64"/>
  </mergeCells>
  <hyperlinks>
    <hyperlink ref="B89" r:id="rId1"/>
  </hyperlinks>
  <printOptions horizontalCentered="1"/>
  <pageMargins left="0.51181102362204722" right="0.31496062992125984" top="1.1417322834645669" bottom="0.74803149606299213" header="0.51181102362204722" footer="0.31496062992125984"/>
  <pageSetup paperSize="9" scale="67" orientation="portrait" r:id="rId2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  <rowBreaks count="1" manualBreakCount="1"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A1:R161"/>
  <sheetViews>
    <sheetView topLeftCell="A129" zoomScaleNormal="100" workbookViewId="0">
      <selection activeCell="C157" sqref="C157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5.42578125" style="105" bestFit="1" customWidth="1"/>
    <col min="13" max="13" width="8.85546875" style="105" bestFit="1" customWidth="1"/>
    <col min="14" max="14" width="16.5703125" bestFit="1" customWidth="1"/>
    <col min="15" max="15" width="20.42578125" style="298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5"/>
    </row>
    <row r="2" spans="1:16" ht="12.75" customHeight="1" x14ac:dyDescent="0.2">
      <c r="A2" s="8" t="s">
        <v>457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  <c r="O2" s="591"/>
    </row>
    <row r="3" spans="1:16" ht="12.75" customHeight="1" x14ac:dyDescent="0.2">
      <c r="A3" s="8" t="s">
        <v>557</v>
      </c>
      <c r="C3" s="176" t="s">
        <v>467</v>
      </c>
      <c r="D3" s="166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7" t="s">
        <v>41</v>
      </c>
      <c r="K3" s="95" t="s">
        <v>42</v>
      </c>
      <c r="L3" s="16" t="s">
        <v>43</v>
      </c>
      <c r="M3" s="157" t="s">
        <v>368</v>
      </c>
      <c r="O3" s="591"/>
    </row>
    <row r="4" spans="1:16" ht="14.1" customHeight="1" x14ac:dyDescent="0.2">
      <c r="A4" s="1"/>
      <c r="B4" s="2" t="s">
        <v>443</v>
      </c>
      <c r="C4" s="292" t="s">
        <v>13</v>
      </c>
      <c r="D4" s="293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290" t="s">
        <v>551</v>
      </c>
      <c r="O4" s="592"/>
    </row>
    <row r="5" spans="1:16" ht="14.1" customHeight="1" x14ac:dyDescent="0.2">
      <c r="A5" s="17" t="s">
        <v>56</v>
      </c>
      <c r="B5" s="13" t="s">
        <v>99</v>
      </c>
      <c r="C5" s="230">
        <v>199301489.00999999</v>
      </c>
      <c r="D5" s="237">
        <v>199301489.00999999</v>
      </c>
      <c r="E5" s="33">
        <v>123456583.7</v>
      </c>
      <c r="F5" s="86">
        <f>+E5/D5</f>
        <v>0.61944636898224847</v>
      </c>
      <c r="G5" s="33">
        <v>123456583.7</v>
      </c>
      <c r="H5" s="86">
        <f>+G5/D5</f>
        <v>0.61944636898224847</v>
      </c>
      <c r="I5" s="33">
        <v>123456583.7</v>
      </c>
      <c r="J5" s="193">
        <f>+I5/D5</f>
        <v>0.61944636898224847</v>
      </c>
      <c r="K5" s="470">
        <v>106859692.04000001</v>
      </c>
      <c r="L5" s="199">
        <v>0.6061565376369572</v>
      </c>
      <c r="M5" s="185">
        <f>+I5/K5-1</f>
        <v>0.15531479965137285</v>
      </c>
      <c r="O5" s="592"/>
    </row>
    <row r="6" spans="1:16" ht="14.1" customHeight="1" x14ac:dyDescent="0.2">
      <c r="A6" s="18">
        <v>0</v>
      </c>
      <c r="B6" s="2" t="s">
        <v>99</v>
      </c>
      <c r="C6" s="232">
        <f>SUBTOTAL(9,C5:C5)</f>
        <v>199301489.00999999</v>
      </c>
      <c r="D6" s="239">
        <f>SUBTOTAL(9,D5:D5)</f>
        <v>199301489.00999999</v>
      </c>
      <c r="E6" s="234">
        <f>SUBTOTAL(9,E5:E5)</f>
        <v>123456583.7</v>
      </c>
      <c r="F6" s="98">
        <f t="shared" ref="F6:F75" si="0">+E6/D6</f>
        <v>0.61944636898224847</v>
      </c>
      <c r="G6" s="234">
        <f>SUBTOTAL(9,G5:G5)</f>
        <v>123456583.7</v>
      </c>
      <c r="H6" s="98">
        <f t="shared" ref="H6:H75" si="1">+G6/D6</f>
        <v>0.61944636898224847</v>
      </c>
      <c r="I6" s="234">
        <f>SUBTOTAL(9,I5:I5)</f>
        <v>123456583.7</v>
      </c>
      <c r="J6" s="190">
        <f t="shared" ref="J6:J75" si="2">+I6/D6</f>
        <v>0.61944636898224847</v>
      </c>
      <c r="K6" s="92">
        <f>SUBTOTAL(9,K5:K5)</f>
        <v>106859692.04000001</v>
      </c>
      <c r="L6" s="44"/>
      <c r="M6" s="162">
        <f t="shared" ref="M6:M9" si="3">+I6/K6-1</f>
        <v>0.15531479965137285</v>
      </c>
      <c r="O6" s="592"/>
    </row>
    <row r="7" spans="1:16" ht="14.1" customHeight="1" x14ac:dyDescent="0.2">
      <c r="A7" s="38" t="s">
        <v>57</v>
      </c>
      <c r="B7" s="39" t="s">
        <v>507</v>
      </c>
      <c r="C7" s="230">
        <v>7623547.1299999999</v>
      </c>
      <c r="D7" s="237">
        <v>8116692.1500000004</v>
      </c>
      <c r="E7" s="33">
        <v>1964182.25</v>
      </c>
      <c r="F7" s="49">
        <f t="shared" si="0"/>
        <v>0.24199294659709372</v>
      </c>
      <c r="G7" s="33">
        <v>1726835.64</v>
      </c>
      <c r="H7" s="49">
        <f t="shared" si="1"/>
        <v>0.21275115626998367</v>
      </c>
      <c r="I7" s="33">
        <v>1153408.72</v>
      </c>
      <c r="J7" s="172">
        <f t="shared" si="2"/>
        <v>0.14210329758533469</v>
      </c>
      <c r="K7" s="467">
        <v>1041589.93</v>
      </c>
      <c r="L7" s="199">
        <v>0.11946184442005345</v>
      </c>
      <c r="M7" s="159">
        <f t="shared" si="3"/>
        <v>0.10735394686467448</v>
      </c>
      <c r="O7" s="592"/>
    </row>
    <row r="8" spans="1:16" ht="14.1" customHeight="1" x14ac:dyDescent="0.2">
      <c r="A8" s="40" t="s">
        <v>58</v>
      </c>
      <c r="B8" s="41" t="s">
        <v>110</v>
      </c>
      <c r="C8" s="230">
        <v>167280142.05000001</v>
      </c>
      <c r="D8" s="237">
        <v>173744568.63999999</v>
      </c>
      <c r="E8" s="33">
        <v>30702057.899999999</v>
      </c>
      <c r="F8" s="325">
        <f t="shared" si="0"/>
        <v>0.17670801533724423</v>
      </c>
      <c r="G8" s="33">
        <v>29557761.469999999</v>
      </c>
      <c r="H8" s="325">
        <f t="shared" si="1"/>
        <v>0.17012193072489015</v>
      </c>
      <c r="I8" s="33">
        <v>22683199.510000002</v>
      </c>
      <c r="J8" s="199">
        <f t="shared" si="2"/>
        <v>0.130554869643147</v>
      </c>
      <c r="K8" s="468">
        <v>22523901.300000001</v>
      </c>
      <c r="L8" s="199">
        <v>0.12340605053960241</v>
      </c>
      <c r="M8" s="273">
        <f t="shared" si="3"/>
        <v>7.0724075673338493E-3</v>
      </c>
      <c r="N8" s="54" t="s">
        <v>154</v>
      </c>
    </row>
    <row r="9" spans="1:16" ht="14.1" customHeight="1" x14ac:dyDescent="0.2">
      <c r="A9" s="40" t="s">
        <v>59</v>
      </c>
      <c r="B9" s="41" t="s">
        <v>126</v>
      </c>
      <c r="C9" s="230">
        <v>51836587</v>
      </c>
      <c r="D9" s="237">
        <v>51836587</v>
      </c>
      <c r="E9" s="33">
        <v>0</v>
      </c>
      <c r="F9" s="325">
        <f t="shared" si="0"/>
        <v>0</v>
      </c>
      <c r="G9" s="33">
        <v>0</v>
      </c>
      <c r="H9" s="325">
        <f t="shared" si="1"/>
        <v>0</v>
      </c>
      <c r="I9" s="33">
        <v>0</v>
      </c>
      <c r="J9" s="199">
        <f t="shared" si="2"/>
        <v>0</v>
      </c>
      <c r="K9" s="468">
        <v>631530</v>
      </c>
      <c r="L9" s="533">
        <v>8.9999999999999993E-3</v>
      </c>
      <c r="M9" s="159">
        <f t="shared" si="3"/>
        <v>-1</v>
      </c>
      <c r="O9" s="321"/>
    </row>
    <row r="10" spans="1:16" ht="14.1" customHeight="1" x14ac:dyDescent="0.2">
      <c r="A10" s="40">
        <v>134</v>
      </c>
      <c r="B10" s="41" t="s">
        <v>511</v>
      </c>
      <c r="C10" s="230">
        <v>15868431.810000001</v>
      </c>
      <c r="D10" s="237">
        <v>17936484.960000001</v>
      </c>
      <c r="E10" s="33">
        <v>12062558.359999999</v>
      </c>
      <c r="F10" s="325">
        <f t="shared" si="0"/>
        <v>0.67251517713200804</v>
      </c>
      <c r="G10" s="33">
        <v>8338933.9400000004</v>
      </c>
      <c r="H10" s="325">
        <f t="shared" si="1"/>
        <v>0.46491461167539705</v>
      </c>
      <c r="I10" s="33">
        <v>584326.87</v>
      </c>
      <c r="J10" s="199">
        <f t="shared" si="2"/>
        <v>3.2577557492624795E-2</v>
      </c>
      <c r="K10" s="468">
        <v>0</v>
      </c>
      <c r="L10" s="533">
        <v>0</v>
      </c>
      <c r="M10" s="160" t="s">
        <v>135</v>
      </c>
      <c r="N10" s="593" t="s">
        <v>558</v>
      </c>
      <c r="O10" s="321"/>
    </row>
    <row r="11" spans="1:16" ht="14.1" customHeight="1" x14ac:dyDescent="0.2">
      <c r="A11" s="40" t="s">
        <v>60</v>
      </c>
      <c r="B11" s="41" t="s">
        <v>518</v>
      </c>
      <c r="C11" s="230">
        <v>1692440.07</v>
      </c>
      <c r="D11" s="237">
        <v>329402.94</v>
      </c>
      <c r="E11" s="33">
        <v>57564.54</v>
      </c>
      <c r="F11" s="325">
        <f t="shared" si="0"/>
        <v>0.17475417796817477</v>
      </c>
      <c r="G11" s="33">
        <v>57564.54</v>
      </c>
      <c r="H11" s="325">
        <f t="shared" si="1"/>
        <v>0.17475417796817477</v>
      </c>
      <c r="I11" s="33">
        <v>57564.54</v>
      </c>
      <c r="J11" s="199">
        <f t="shared" si="2"/>
        <v>0.17475417796817477</v>
      </c>
      <c r="K11" s="468">
        <v>0</v>
      </c>
      <c r="L11" s="199">
        <v>0</v>
      </c>
      <c r="M11" s="160" t="s">
        <v>135</v>
      </c>
      <c r="N11" s="593" t="s">
        <v>558</v>
      </c>
      <c r="O11" s="320"/>
    </row>
    <row r="12" spans="1:16" ht="14.1" customHeight="1" x14ac:dyDescent="0.2">
      <c r="A12" s="40">
        <v>136</v>
      </c>
      <c r="B12" s="41" t="s">
        <v>512</v>
      </c>
      <c r="C12" s="230">
        <v>39090866.25</v>
      </c>
      <c r="D12" s="237">
        <v>43299814.630000003</v>
      </c>
      <c r="E12" s="33">
        <v>8279851.9199999999</v>
      </c>
      <c r="F12" s="325">
        <f t="shared" si="0"/>
        <v>0.19122141724512964</v>
      </c>
      <c r="G12" s="33">
        <v>7701935.3799999999</v>
      </c>
      <c r="H12" s="325">
        <f t="shared" si="1"/>
        <v>0.17787455779692329</v>
      </c>
      <c r="I12" s="33">
        <v>5667207.4699999997</v>
      </c>
      <c r="J12" s="199">
        <f t="shared" si="2"/>
        <v>0.13088294992546021</v>
      </c>
      <c r="K12" s="468">
        <v>5135805</v>
      </c>
      <c r="L12" s="199">
        <v>0.121</v>
      </c>
      <c r="M12" s="160">
        <f t="shared" ref="M12:M20" si="4">+I12/K12-1</f>
        <v>0.10347014148706957</v>
      </c>
      <c r="N12" s="593" t="s">
        <v>559</v>
      </c>
      <c r="O12" s="320"/>
    </row>
    <row r="13" spans="1:16" ht="14.1" customHeight="1" x14ac:dyDescent="0.2">
      <c r="A13" s="40" t="s">
        <v>61</v>
      </c>
      <c r="B13" s="41" t="s">
        <v>508</v>
      </c>
      <c r="C13" s="230">
        <v>19474656.210000001</v>
      </c>
      <c r="D13" s="237">
        <v>20923282.82</v>
      </c>
      <c r="E13" s="33">
        <v>10185512.140000001</v>
      </c>
      <c r="F13" s="325">
        <f t="shared" si="0"/>
        <v>0.48680277505325048</v>
      </c>
      <c r="G13" s="33">
        <v>9456617.8000000007</v>
      </c>
      <c r="H13" s="325">
        <f t="shared" si="1"/>
        <v>0.45196625602941598</v>
      </c>
      <c r="I13" s="33">
        <v>3369264.17</v>
      </c>
      <c r="J13" s="199">
        <f t="shared" si="2"/>
        <v>0.16102942348890928</v>
      </c>
      <c r="K13" s="468">
        <v>3382098</v>
      </c>
      <c r="L13" s="199">
        <v>0.16300000000000001</v>
      </c>
      <c r="M13" s="160">
        <f t="shared" si="4"/>
        <v>-3.7946357556759569E-3</v>
      </c>
      <c r="O13" s="320"/>
      <c r="P13" s="320"/>
    </row>
    <row r="14" spans="1:16" ht="14.1" customHeight="1" x14ac:dyDescent="0.2">
      <c r="A14" s="40" t="s">
        <v>62</v>
      </c>
      <c r="B14" s="41" t="s">
        <v>519</v>
      </c>
      <c r="C14" s="230">
        <v>248187563.34999999</v>
      </c>
      <c r="D14" s="237">
        <v>236714872.53</v>
      </c>
      <c r="E14" s="33">
        <v>48457884.649999999</v>
      </c>
      <c r="F14" s="325">
        <f t="shared" si="0"/>
        <v>0.20470992858236528</v>
      </c>
      <c r="G14" s="33">
        <v>46186450.390000001</v>
      </c>
      <c r="H14" s="325">
        <f t="shared" si="1"/>
        <v>0.19511427354082525</v>
      </c>
      <c r="I14" s="33">
        <v>33619682.43</v>
      </c>
      <c r="J14" s="199">
        <f t="shared" si="2"/>
        <v>0.14202606735552376</v>
      </c>
      <c r="K14" s="468">
        <v>17799310</v>
      </c>
      <c r="L14" s="199">
        <v>0.06</v>
      </c>
      <c r="M14" s="160">
        <f t="shared" si="4"/>
        <v>0.8888194222135577</v>
      </c>
      <c r="O14" s="320"/>
      <c r="P14" s="320"/>
    </row>
    <row r="15" spans="1:16" ht="14.1" customHeight="1" x14ac:dyDescent="0.2">
      <c r="A15" s="40">
        <v>152</v>
      </c>
      <c r="B15" s="41" t="s">
        <v>513</v>
      </c>
      <c r="C15" s="230">
        <v>31658076.68</v>
      </c>
      <c r="D15" s="237">
        <v>31596366.68</v>
      </c>
      <c r="E15" s="33">
        <v>11636249.07</v>
      </c>
      <c r="F15" s="325">
        <f t="shared" si="0"/>
        <v>0.36827807411684338</v>
      </c>
      <c r="G15" s="33">
        <v>11576249.07</v>
      </c>
      <c r="H15" s="325">
        <f t="shared" si="1"/>
        <v>0.36637912160095237</v>
      </c>
      <c r="I15" s="33">
        <v>1500057</v>
      </c>
      <c r="J15" s="199">
        <f t="shared" si="2"/>
        <v>4.7475616902164654E-2</v>
      </c>
      <c r="K15" s="468">
        <v>2081178.09</v>
      </c>
      <c r="L15" s="199">
        <v>0.17546956515042508</v>
      </c>
      <c r="M15" s="160">
        <f t="shared" si="4"/>
        <v>-0.279226988210317</v>
      </c>
      <c r="N15" s="593" t="s">
        <v>560</v>
      </c>
      <c r="O15" s="320"/>
      <c r="P15" s="320"/>
    </row>
    <row r="16" spans="1:16" ht="14.1" customHeight="1" x14ac:dyDescent="0.2">
      <c r="A16" s="40" t="s">
        <v>63</v>
      </c>
      <c r="B16" s="41" t="s">
        <v>520</v>
      </c>
      <c r="C16" s="230">
        <v>76359469.819999993</v>
      </c>
      <c r="D16" s="237">
        <v>78836866.140000001</v>
      </c>
      <c r="E16" s="33">
        <v>27698438.890000001</v>
      </c>
      <c r="F16" s="325">
        <f t="shared" si="0"/>
        <v>0.35133865976880141</v>
      </c>
      <c r="G16" s="33">
        <v>26670244.510000002</v>
      </c>
      <c r="H16" s="325">
        <f t="shared" si="1"/>
        <v>0.33829660938879125</v>
      </c>
      <c r="I16" s="33">
        <v>4353615.37</v>
      </c>
      <c r="J16" s="199">
        <f t="shared" si="2"/>
        <v>5.5223090200830251E-2</v>
      </c>
      <c r="K16" s="468">
        <f>1776298+1901815</f>
        <v>3678113</v>
      </c>
      <c r="L16" s="199">
        <f>K16/(38622255+10649162)</f>
        <v>7.4650034927958339E-2</v>
      </c>
      <c r="M16" s="160">
        <f t="shared" si="4"/>
        <v>0.18365459951882945</v>
      </c>
      <c r="N16" s="593" t="s">
        <v>561</v>
      </c>
      <c r="O16" s="320"/>
    </row>
    <row r="17" spans="1:15" ht="14.1" customHeight="1" x14ac:dyDescent="0.2">
      <c r="A17" s="40">
        <v>160</v>
      </c>
      <c r="B17" s="594" t="s">
        <v>168</v>
      </c>
      <c r="C17" s="230">
        <v>22800419.210000001</v>
      </c>
      <c r="D17" s="237">
        <v>25830489.219999999</v>
      </c>
      <c r="E17" s="33">
        <v>23015207.809999999</v>
      </c>
      <c r="F17" s="325">
        <f t="shared" si="0"/>
        <v>0.89100936548192866</v>
      </c>
      <c r="G17" s="33">
        <v>23015207.809999999</v>
      </c>
      <c r="H17" s="325">
        <f t="shared" si="1"/>
        <v>0.89100936548192866</v>
      </c>
      <c r="I17" s="33">
        <v>3263392.63</v>
      </c>
      <c r="J17" s="199">
        <f t="shared" si="2"/>
        <v>0.12633878523188111</v>
      </c>
      <c r="K17" s="468">
        <v>4546118</v>
      </c>
      <c r="L17" s="199">
        <v>0.19</v>
      </c>
      <c r="M17" s="160">
        <f t="shared" si="4"/>
        <v>-0.28215839756029215</v>
      </c>
      <c r="N17" s="593" t="s">
        <v>562</v>
      </c>
      <c r="O17" s="320"/>
    </row>
    <row r="18" spans="1:15" ht="14.1" customHeight="1" x14ac:dyDescent="0.2">
      <c r="A18" s="40" t="s">
        <v>64</v>
      </c>
      <c r="B18" s="594" t="s">
        <v>521</v>
      </c>
      <c r="C18" s="230">
        <v>2253145.13</v>
      </c>
      <c r="D18" s="237">
        <v>2253145.13</v>
      </c>
      <c r="E18" s="33">
        <v>1745458.09</v>
      </c>
      <c r="F18" s="325">
        <f t="shared" si="0"/>
        <v>0.77467628106139796</v>
      </c>
      <c r="G18" s="33">
        <v>1745458.09</v>
      </c>
      <c r="H18" s="325">
        <f t="shared" si="1"/>
        <v>0.77467628106139796</v>
      </c>
      <c r="I18" s="33">
        <v>0</v>
      </c>
      <c r="J18" s="199">
        <f t="shared" si="2"/>
        <v>0</v>
      </c>
      <c r="K18" s="468">
        <v>0</v>
      </c>
      <c r="L18" s="199">
        <v>0</v>
      </c>
      <c r="M18" s="160" t="s">
        <v>135</v>
      </c>
      <c r="N18" s="593" t="s">
        <v>563</v>
      </c>
    </row>
    <row r="19" spans="1:15" ht="14.1" customHeight="1" x14ac:dyDescent="0.2">
      <c r="A19" s="40" t="s">
        <v>65</v>
      </c>
      <c r="B19" s="41" t="s">
        <v>125</v>
      </c>
      <c r="C19" s="230">
        <v>158630554.56</v>
      </c>
      <c r="D19" s="237">
        <v>148712261.38</v>
      </c>
      <c r="E19" s="33">
        <v>141187609.46000001</v>
      </c>
      <c r="F19" s="325">
        <f t="shared" si="0"/>
        <v>0.94940126758766397</v>
      </c>
      <c r="G19" s="33">
        <v>141187609.46000001</v>
      </c>
      <c r="H19" s="325">
        <f t="shared" si="1"/>
        <v>0.94940126758766397</v>
      </c>
      <c r="I19" s="33">
        <v>4043037.48</v>
      </c>
      <c r="J19" s="199">
        <f t="shared" si="2"/>
        <v>2.7186981372497237E-2</v>
      </c>
      <c r="K19" s="468">
        <v>36366.519999999997</v>
      </c>
      <c r="L19" s="199">
        <v>2.3845616154511285E-4</v>
      </c>
      <c r="M19" s="160" t="s">
        <v>135</v>
      </c>
    </row>
    <row r="20" spans="1:15" ht="14.1" customHeight="1" x14ac:dyDescent="0.2">
      <c r="A20" s="40" t="s">
        <v>66</v>
      </c>
      <c r="B20" s="41" t="s">
        <v>102</v>
      </c>
      <c r="C20" s="230">
        <v>168939654.47999999</v>
      </c>
      <c r="D20" s="237">
        <v>177046843.99000001</v>
      </c>
      <c r="E20" s="33">
        <v>175623770.11000001</v>
      </c>
      <c r="F20" s="325">
        <f t="shared" si="0"/>
        <v>0.99196216183282893</v>
      </c>
      <c r="G20" s="33">
        <v>175618170.11000001</v>
      </c>
      <c r="H20" s="325">
        <f t="shared" si="1"/>
        <v>0.99193053178580981</v>
      </c>
      <c r="I20" s="33">
        <v>570651.80000000005</v>
      </c>
      <c r="J20" s="199">
        <f t="shared" si="2"/>
        <v>3.2231684402814417E-3</v>
      </c>
      <c r="K20" s="468">
        <v>439692.02</v>
      </c>
      <c r="L20" s="199">
        <v>2.5441172158343784E-3</v>
      </c>
      <c r="M20" s="160">
        <f t="shared" si="4"/>
        <v>0.29784434113678038</v>
      </c>
    </row>
    <row r="21" spans="1:15" ht="14.1" customHeight="1" x14ac:dyDescent="0.2">
      <c r="A21" s="40" t="s">
        <v>67</v>
      </c>
      <c r="B21" s="41" t="s">
        <v>536</v>
      </c>
      <c r="C21" s="230">
        <v>12029885</v>
      </c>
      <c r="D21" s="237">
        <v>12029885</v>
      </c>
      <c r="E21" s="33">
        <v>0</v>
      </c>
      <c r="F21" s="325">
        <f t="shared" si="0"/>
        <v>0</v>
      </c>
      <c r="G21" s="33">
        <v>0</v>
      </c>
      <c r="H21" s="325">
        <f t="shared" si="1"/>
        <v>0</v>
      </c>
      <c r="I21" s="33">
        <v>0</v>
      </c>
      <c r="J21" s="199">
        <f t="shared" si="2"/>
        <v>0</v>
      </c>
      <c r="K21" s="468">
        <v>0</v>
      </c>
      <c r="L21" s="199">
        <v>0</v>
      </c>
      <c r="M21" s="160" t="s">
        <v>135</v>
      </c>
    </row>
    <row r="22" spans="1:15" ht="14.1" customHeight="1" x14ac:dyDescent="0.2">
      <c r="A22" s="40" t="s">
        <v>68</v>
      </c>
      <c r="B22" s="41" t="s">
        <v>103</v>
      </c>
      <c r="C22" s="230">
        <v>36992943.420000002</v>
      </c>
      <c r="D22" s="237">
        <v>38481257.369999997</v>
      </c>
      <c r="E22" s="33">
        <v>33438019.32</v>
      </c>
      <c r="F22" s="325">
        <f t="shared" si="0"/>
        <v>0.8689430025243482</v>
      </c>
      <c r="G22" s="33">
        <v>33438018.629999999</v>
      </c>
      <c r="H22" s="325">
        <f t="shared" si="1"/>
        <v>0.86894298459354113</v>
      </c>
      <c r="I22" s="33">
        <v>3007818.48</v>
      </c>
      <c r="J22" s="199">
        <f t="shared" si="2"/>
        <v>7.8163206858851142E-2</v>
      </c>
      <c r="K22" s="468">
        <v>2513789.08</v>
      </c>
      <c r="L22" s="199">
        <v>7.8316392844703625E-2</v>
      </c>
      <c r="M22" s="160">
        <f>+I22/K22-1</f>
        <v>0.19652778505983481</v>
      </c>
    </row>
    <row r="23" spans="1:15" ht="14.1" customHeight="1" x14ac:dyDescent="0.2">
      <c r="A23" s="40" t="s">
        <v>69</v>
      </c>
      <c r="B23" s="41" t="s">
        <v>116</v>
      </c>
      <c r="C23" s="230">
        <v>1332914.3600000001</v>
      </c>
      <c r="D23" s="237">
        <v>2382914.36</v>
      </c>
      <c r="E23" s="33">
        <v>2333353.89</v>
      </c>
      <c r="F23" s="325">
        <f t="shared" si="0"/>
        <v>0.97920174101431001</v>
      </c>
      <c r="G23" s="33">
        <v>1788035.47</v>
      </c>
      <c r="H23" s="325">
        <f t="shared" si="1"/>
        <v>0.75035658016681728</v>
      </c>
      <c r="I23" s="33">
        <v>61178.86</v>
      </c>
      <c r="J23" s="199">
        <f t="shared" si="2"/>
        <v>2.5673965051769634E-2</v>
      </c>
      <c r="K23" s="468">
        <v>39787.53</v>
      </c>
      <c r="L23" s="199">
        <v>3.1703211155378483E-2</v>
      </c>
      <c r="M23" s="160" t="s">
        <v>135</v>
      </c>
    </row>
    <row r="24" spans="1:15" ht="14.1" customHeight="1" x14ac:dyDescent="0.2">
      <c r="A24" s="40" t="s">
        <v>70</v>
      </c>
      <c r="B24" s="41" t="s">
        <v>113</v>
      </c>
      <c r="C24" s="230">
        <v>54635171.149999999</v>
      </c>
      <c r="D24" s="237">
        <v>54532975</v>
      </c>
      <c r="E24" s="33">
        <v>47494228</v>
      </c>
      <c r="F24" s="325">
        <f t="shared" si="0"/>
        <v>0.87092677412152919</v>
      </c>
      <c r="G24" s="33">
        <v>47494228</v>
      </c>
      <c r="H24" s="325">
        <f t="shared" si="1"/>
        <v>0.87092677412152919</v>
      </c>
      <c r="I24" s="33">
        <v>7000000</v>
      </c>
      <c r="J24" s="199">
        <f t="shared" si="2"/>
        <v>0.12836270164978161</v>
      </c>
      <c r="K24" s="468">
        <v>4507756.66</v>
      </c>
      <c r="L24" s="199">
        <v>8.7893725332286607E-2</v>
      </c>
      <c r="M24" s="160">
        <f>+I24/K24-1</f>
        <v>0.55287885482265575</v>
      </c>
    </row>
    <row r="25" spans="1:15" ht="14.1" customHeight="1" x14ac:dyDescent="0.2">
      <c r="A25" s="42">
        <v>172</v>
      </c>
      <c r="B25" s="43" t="s">
        <v>514</v>
      </c>
      <c r="C25" s="230">
        <v>3147933.73</v>
      </c>
      <c r="D25" s="237">
        <v>3362112.66</v>
      </c>
      <c r="E25" s="33">
        <v>1351968.7</v>
      </c>
      <c r="F25" s="325">
        <f t="shared" si="0"/>
        <v>0.40211879753012197</v>
      </c>
      <c r="G25" s="33">
        <v>1172781.6299999999</v>
      </c>
      <c r="H25" s="325">
        <f t="shared" si="1"/>
        <v>0.34882282320664409</v>
      </c>
      <c r="I25" s="33">
        <v>131964.38</v>
      </c>
      <c r="J25" s="199">
        <f t="shared" si="2"/>
        <v>3.9250433684158578E-2</v>
      </c>
      <c r="K25" s="468">
        <v>0</v>
      </c>
      <c r="L25" s="199">
        <v>0</v>
      </c>
      <c r="M25" s="160" t="s">
        <v>135</v>
      </c>
      <c r="N25" s="593" t="s">
        <v>558</v>
      </c>
    </row>
    <row r="26" spans="1:15" ht="14.1" customHeight="1" x14ac:dyDescent="0.2">
      <c r="A26" s="42" t="s">
        <v>71</v>
      </c>
      <c r="B26" s="43" t="s">
        <v>137</v>
      </c>
      <c r="C26" s="230">
        <v>2411275.08</v>
      </c>
      <c r="D26" s="237">
        <v>3837893.99</v>
      </c>
      <c r="E26" s="33">
        <v>3014023.15</v>
      </c>
      <c r="F26" s="464">
        <f t="shared" si="0"/>
        <v>0.78533256985558364</v>
      </c>
      <c r="G26" s="33">
        <v>2848601.28</v>
      </c>
      <c r="H26" s="464">
        <f t="shared" si="1"/>
        <v>0.74223031887339852</v>
      </c>
      <c r="I26" s="33">
        <v>336846.11</v>
      </c>
      <c r="J26" s="466">
        <f t="shared" si="2"/>
        <v>8.7768476898446052E-2</v>
      </c>
      <c r="K26" s="468">
        <v>535151</v>
      </c>
      <c r="L26" s="199">
        <v>0.1</v>
      </c>
      <c r="M26" s="160">
        <f>+I26/K26-1</f>
        <v>-0.37055875818227013</v>
      </c>
    </row>
    <row r="27" spans="1:15" ht="14.1" customHeight="1" x14ac:dyDescent="0.2">
      <c r="A27" s="18">
        <v>1</v>
      </c>
      <c r="B27" s="2" t="s">
        <v>130</v>
      </c>
      <c r="C27" s="232">
        <f>SUBTOTAL(9,C7:C26)</f>
        <v>1122245676.49</v>
      </c>
      <c r="D27" s="239">
        <f>SUBTOTAL(9,D7:D26)</f>
        <v>1131804716.5900002</v>
      </c>
      <c r="E27" s="234">
        <f>SUBTOTAL(9,E7:E26)</f>
        <v>580247938.25</v>
      </c>
      <c r="F27" s="98">
        <f t="shared" si="0"/>
        <v>0.51267496039265636</v>
      </c>
      <c r="G27" s="234">
        <f>SUBTOTAL(9,G7:G26)</f>
        <v>569580703.22000003</v>
      </c>
      <c r="H27" s="98">
        <f t="shared" si="1"/>
        <v>0.50324998197222781</v>
      </c>
      <c r="I27" s="234">
        <f>SUBTOTAL(9,I7:I26)</f>
        <v>91403215.820000008</v>
      </c>
      <c r="J27" s="190">
        <f t="shared" si="2"/>
        <v>8.0758822153867302E-2</v>
      </c>
      <c r="K27" s="92">
        <f>SUBTOTAL(9,K7:K26)</f>
        <v>68892186.13000001</v>
      </c>
      <c r="L27" s="44">
        <v>6.0999999999999999E-2</v>
      </c>
      <c r="M27" s="162">
        <f t="shared" ref="M27:M36" si="5">+I27/K27-1</f>
        <v>0.32675737198296395</v>
      </c>
    </row>
    <row r="28" spans="1:15" ht="14.1" customHeight="1" x14ac:dyDescent="0.2">
      <c r="A28" s="38" t="s">
        <v>72</v>
      </c>
      <c r="B28" s="39" t="s">
        <v>104</v>
      </c>
      <c r="C28" s="230">
        <v>708758.5</v>
      </c>
      <c r="D28" s="237">
        <v>654494.4</v>
      </c>
      <c r="E28" s="33">
        <v>92975.53</v>
      </c>
      <c r="F28" s="49">
        <f t="shared" si="0"/>
        <v>0.14205702905937773</v>
      </c>
      <c r="G28" s="33">
        <v>92975.53</v>
      </c>
      <c r="H28" s="49">
        <f t="shared" si="1"/>
        <v>0.14205702905937773</v>
      </c>
      <c r="I28" s="33">
        <v>92975.53</v>
      </c>
      <c r="J28" s="172">
        <f t="shared" si="2"/>
        <v>0.14205702905937773</v>
      </c>
      <c r="K28" s="467">
        <v>108091.52</v>
      </c>
      <c r="L28" s="172">
        <v>0.14446818013123072</v>
      </c>
      <c r="M28" s="159">
        <f t="shared" si="5"/>
        <v>-0.13984436521939936</v>
      </c>
    </row>
    <row r="29" spans="1:15" ht="14.1" customHeight="1" x14ac:dyDescent="0.2">
      <c r="A29" s="40" t="s">
        <v>73</v>
      </c>
      <c r="B29" s="41" t="s">
        <v>539</v>
      </c>
      <c r="C29" s="230">
        <v>21205708.129999999</v>
      </c>
      <c r="D29" s="237">
        <v>21001818.559999999</v>
      </c>
      <c r="E29" s="33">
        <v>4993489.29</v>
      </c>
      <c r="F29" s="325">
        <f t="shared" si="0"/>
        <v>0.23776461432299892</v>
      </c>
      <c r="G29" s="33">
        <v>3734430.45</v>
      </c>
      <c r="H29" s="325">
        <f t="shared" si="1"/>
        <v>0.17781462302091236</v>
      </c>
      <c r="I29" s="33">
        <v>2350976.75</v>
      </c>
      <c r="J29" s="199">
        <f t="shared" si="2"/>
        <v>0.1119415798819281</v>
      </c>
      <c r="K29" s="468">
        <v>2527618.2599999998</v>
      </c>
      <c r="L29" s="199">
        <v>0.10585529758562436</v>
      </c>
      <c r="M29" s="160">
        <f t="shared" si="5"/>
        <v>-6.9884567933133912E-2</v>
      </c>
    </row>
    <row r="30" spans="1:15" ht="14.1" customHeight="1" x14ac:dyDescent="0.2">
      <c r="A30" s="40" t="s">
        <v>74</v>
      </c>
      <c r="B30" s="41" t="s">
        <v>522</v>
      </c>
      <c r="C30" s="230">
        <v>180790299.88999999</v>
      </c>
      <c r="D30" s="237">
        <v>181992869.16999999</v>
      </c>
      <c r="E30" s="33">
        <v>150023016.36000001</v>
      </c>
      <c r="F30" s="325">
        <f t="shared" si="0"/>
        <v>0.82433458543841709</v>
      </c>
      <c r="G30" s="33">
        <v>148167876.91999999</v>
      </c>
      <c r="H30" s="325">
        <f t="shared" si="1"/>
        <v>0.81414111220806129</v>
      </c>
      <c r="I30" s="33">
        <v>22966062.440000001</v>
      </c>
      <c r="J30" s="199">
        <f t="shared" si="2"/>
        <v>0.12619210051877003</v>
      </c>
      <c r="K30" s="468">
        <f>14448760+14917004</f>
        <v>29365764</v>
      </c>
      <c r="L30" s="199">
        <f>K30/(105536769+60304050)</f>
        <v>0.17707199094331535</v>
      </c>
      <c r="M30" s="160">
        <f t="shared" si="5"/>
        <v>-0.21793070188808972</v>
      </c>
      <c r="N30" s="593" t="s">
        <v>564</v>
      </c>
    </row>
    <row r="31" spans="1:15" ht="14.1" customHeight="1" x14ac:dyDescent="0.2">
      <c r="A31" s="40" t="s">
        <v>75</v>
      </c>
      <c r="B31" s="41" t="s">
        <v>105</v>
      </c>
      <c r="C31" s="230">
        <v>29950298.399999999</v>
      </c>
      <c r="D31" s="237">
        <v>30473108.59</v>
      </c>
      <c r="E31" s="33">
        <v>17240978</v>
      </c>
      <c r="F31" s="325">
        <f t="shared" si="0"/>
        <v>0.56577680445958078</v>
      </c>
      <c r="G31" s="33">
        <v>12005631.689999999</v>
      </c>
      <c r="H31" s="325">
        <f t="shared" si="1"/>
        <v>0.39397463027253299</v>
      </c>
      <c r="I31" s="33">
        <v>1562292.78</v>
      </c>
      <c r="J31" s="199">
        <f t="shared" si="2"/>
        <v>5.1267916280542482E-2</v>
      </c>
      <c r="K31" s="468">
        <v>994333.65</v>
      </c>
      <c r="L31" s="199">
        <v>3.4906891121916521E-2</v>
      </c>
      <c r="M31" s="160">
        <f t="shared" si="5"/>
        <v>0.57119572489576309</v>
      </c>
    </row>
    <row r="32" spans="1:15" ht="14.1" customHeight="1" x14ac:dyDescent="0.2">
      <c r="A32" s="297">
        <v>234</v>
      </c>
      <c r="B32" s="41" t="s">
        <v>451</v>
      </c>
      <c r="C32" s="230">
        <v>8908528.6099999994</v>
      </c>
      <c r="D32" s="237">
        <v>9481008.6099999994</v>
      </c>
      <c r="E32" s="33">
        <v>8723071.7100000009</v>
      </c>
      <c r="F32" s="325">
        <f t="shared" si="0"/>
        <v>0.92005735558550472</v>
      </c>
      <c r="G32" s="33">
        <v>8664003.2100000009</v>
      </c>
      <c r="H32" s="325">
        <f t="shared" si="1"/>
        <v>0.91382716400676289</v>
      </c>
      <c r="I32" s="33">
        <v>1500072.5</v>
      </c>
      <c r="J32" s="199">
        <f t="shared" si="2"/>
        <v>0.15821866234968013</v>
      </c>
      <c r="K32" s="468">
        <v>1100000</v>
      </c>
      <c r="L32" s="466">
        <v>0.13385398884430436</v>
      </c>
      <c r="M32" s="160">
        <f t="shared" si="5"/>
        <v>0.36370227272727274</v>
      </c>
    </row>
    <row r="33" spans="1:15" ht="14.1" customHeight="1" x14ac:dyDescent="0.2">
      <c r="A33" s="297">
        <v>239</v>
      </c>
      <c r="B33" s="41" t="s">
        <v>498</v>
      </c>
      <c r="C33" s="230">
        <v>2850236.89</v>
      </c>
      <c r="D33" s="237">
        <v>864992.89</v>
      </c>
      <c r="E33" s="33">
        <v>0</v>
      </c>
      <c r="F33" s="325">
        <f t="shared" si="0"/>
        <v>0</v>
      </c>
      <c r="G33" s="33">
        <v>0</v>
      </c>
      <c r="H33" s="325">
        <f t="shared" si="1"/>
        <v>0</v>
      </c>
      <c r="I33" s="33">
        <v>0</v>
      </c>
      <c r="J33" s="199">
        <f t="shared" si="2"/>
        <v>0</v>
      </c>
      <c r="K33" s="471">
        <v>0</v>
      </c>
      <c r="L33" s="466">
        <v>0</v>
      </c>
      <c r="M33" s="160" t="s">
        <v>135</v>
      </c>
    </row>
    <row r="34" spans="1:15" ht="14.1" customHeight="1" x14ac:dyDescent="0.2">
      <c r="A34" s="18">
        <v>2</v>
      </c>
      <c r="B34" s="2" t="s">
        <v>129</v>
      </c>
      <c r="C34" s="232">
        <f>SUBTOTAL(9,C28:C33)</f>
        <v>244413830.41999996</v>
      </c>
      <c r="D34" s="239">
        <f>SUBTOTAL(9,D28:D33)</f>
        <v>244468292.21999997</v>
      </c>
      <c r="E34" s="234">
        <f>SUBTOTAL(9,E28:E33)</f>
        <v>181073530.89000002</v>
      </c>
      <c r="F34" s="307">
        <f t="shared" si="0"/>
        <v>0.74068309327841075</v>
      </c>
      <c r="G34" s="234">
        <f>SUBTOTAL(9,G28:G33)</f>
        <v>172664917.79999998</v>
      </c>
      <c r="H34" s="267">
        <f>G34/D34</f>
        <v>0.70628757714156543</v>
      </c>
      <c r="I34" s="234">
        <f>SUBTOTAL(9,I28:I33)</f>
        <v>28472380.000000004</v>
      </c>
      <c r="J34" s="322">
        <f>I34/D34</f>
        <v>0.11646655581157071</v>
      </c>
      <c r="K34" s="92">
        <f>SUBTOTAL(9,K28:K33)</f>
        <v>34095807.43</v>
      </c>
      <c r="L34" s="44">
        <v>0.14000000000000001</v>
      </c>
      <c r="M34" s="162">
        <f t="shared" si="5"/>
        <v>-0.16493017335181481</v>
      </c>
    </row>
    <row r="35" spans="1:15" ht="14.1" customHeight="1" x14ac:dyDescent="0.2">
      <c r="A35" s="38">
        <v>311</v>
      </c>
      <c r="B35" s="39" t="s">
        <v>515</v>
      </c>
      <c r="C35" s="231">
        <v>16774924.1</v>
      </c>
      <c r="D35" s="238">
        <v>17946924.100000001</v>
      </c>
      <c r="E35" s="35">
        <v>15733626.77</v>
      </c>
      <c r="F35" s="49">
        <f t="shared" si="0"/>
        <v>0.87667539475469214</v>
      </c>
      <c r="G35" s="35">
        <v>15484753.41</v>
      </c>
      <c r="H35" s="49">
        <f t="shared" si="1"/>
        <v>0.86280820734066621</v>
      </c>
      <c r="I35" s="35">
        <v>3936576.79</v>
      </c>
      <c r="J35" s="172">
        <f t="shared" si="2"/>
        <v>0.21934548606019902</v>
      </c>
      <c r="K35" s="468">
        <v>3880292.58</v>
      </c>
      <c r="L35" s="172">
        <v>0.22587190517410932</v>
      </c>
      <c r="M35" s="159">
        <f t="shared" si="5"/>
        <v>1.4505145898044525E-2</v>
      </c>
      <c r="N35" s="593" t="s">
        <v>565</v>
      </c>
    </row>
    <row r="36" spans="1:15" ht="14.1" customHeight="1" x14ac:dyDescent="0.2">
      <c r="A36" s="38" t="s">
        <v>76</v>
      </c>
      <c r="B36" s="39" t="s">
        <v>138</v>
      </c>
      <c r="C36" s="231">
        <v>2248848</v>
      </c>
      <c r="D36" s="238">
        <v>2248848</v>
      </c>
      <c r="E36" s="35">
        <v>2248848</v>
      </c>
      <c r="F36" s="49">
        <f t="shared" si="0"/>
        <v>1</v>
      </c>
      <c r="G36" s="35">
        <v>2248848</v>
      </c>
      <c r="H36" s="49">
        <f t="shared" si="1"/>
        <v>1</v>
      </c>
      <c r="I36" s="35">
        <v>750000</v>
      </c>
      <c r="J36" s="172">
        <f t="shared" si="2"/>
        <v>0.3335040874260955</v>
      </c>
      <c r="K36" s="467">
        <v>743000</v>
      </c>
      <c r="L36" s="172">
        <v>0.33303451367099957</v>
      </c>
      <c r="M36" s="159">
        <f t="shared" si="5"/>
        <v>9.421265141319024E-3</v>
      </c>
    </row>
    <row r="37" spans="1:15" ht="14.1" customHeight="1" x14ac:dyDescent="0.2">
      <c r="A37" s="40" t="s">
        <v>77</v>
      </c>
      <c r="B37" s="41" t="s">
        <v>503</v>
      </c>
      <c r="C37" s="231">
        <v>20329827.850000001</v>
      </c>
      <c r="D37" s="238">
        <v>21329827.850000001</v>
      </c>
      <c r="E37" s="35">
        <v>8261679.1600000001</v>
      </c>
      <c r="F37" s="325">
        <f t="shared" si="0"/>
        <v>0.38732985648545681</v>
      </c>
      <c r="G37" s="35">
        <v>8261679.1600000001</v>
      </c>
      <c r="H37" s="325">
        <f t="shared" si="1"/>
        <v>0.38732985648545681</v>
      </c>
      <c r="I37" s="35">
        <v>0</v>
      </c>
      <c r="J37" s="199">
        <f t="shared" si="2"/>
        <v>0</v>
      </c>
      <c r="K37" s="468">
        <v>14580000</v>
      </c>
      <c r="L37" s="199">
        <v>0.19345386684202251</v>
      </c>
      <c r="M37" s="160">
        <f>+I37/K37-1</f>
        <v>-1</v>
      </c>
    </row>
    <row r="38" spans="1:15" ht="14.1" customHeight="1" x14ac:dyDescent="0.2">
      <c r="A38" s="297">
        <v>323</v>
      </c>
      <c r="B38" s="41" t="s">
        <v>523</v>
      </c>
      <c r="C38" s="231">
        <v>39307154.049999997</v>
      </c>
      <c r="D38" s="238">
        <v>39307154.049999997</v>
      </c>
      <c r="E38" s="35">
        <v>39307154.049999997</v>
      </c>
      <c r="F38" s="325">
        <f t="shared" si="0"/>
        <v>1</v>
      </c>
      <c r="G38" s="35">
        <v>39307154.049999997</v>
      </c>
      <c r="H38" s="325">
        <f t="shared" si="1"/>
        <v>1</v>
      </c>
      <c r="I38" s="35">
        <v>14880000</v>
      </c>
      <c r="J38" s="199">
        <f t="shared" si="2"/>
        <v>0.37855704284955732</v>
      </c>
      <c r="K38" s="468">
        <f>0+0</f>
        <v>0</v>
      </c>
      <c r="L38" s="199">
        <f>K38/(2047300+7241452)</f>
        <v>0</v>
      </c>
      <c r="M38" s="160" t="s">
        <v>135</v>
      </c>
      <c r="N38" s="593" t="s">
        <v>566</v>
      </c>
    </row>
    <row r="39" spans="1:15" ht="14.1" customHeight="1" x14ac:dyDescent="0.2">
      <c r="A39" s="40" t="s">
        <v>78</v>
      </c>
      <c r="B39" s="41" t="s">
        <v>517</v>
      </c>
      <c r="C39" s="231">
        <v>7463831</v>
      </c>
      <c r="D39" s="238">
        <v>7479148.5</v>
      </c>
      <c r="E39" s="35">
        <v>7479148.5</v>
      </c>
      <c r="F39" s="325">
        <f t="shared" si="0"/>
        <v>1</v>
      </c>
      <c r="G39" s="35">
        <v>7479148.5</v>
      </c>
      <c r="H39" s="325">
        <f t="shared" si="1"/>
        <v>1</v>
      </c>
      <c r="I39" s="35">
        <v>15317.5</v>
      </c>
      <c r="J39" s="199">
        <f t="shared" si="2"/>
        <v>2.048027258718021E-3</v>
      </c>
      <c r="K39" s="33">
        <v>0</v>
      </c>
      <c r="L39" s="199">
        <v>0</v>
      </c>
      <c r="M39" s="160" t="s">
        <v>135</v>
      </c>
      <c r="N39" s="593" t="s">
        <v>558</v>
      </c>
    </row>
    <row r="40" spans="1:15" ht="14.1" customHeight="1" x14ac:dyDescent="0.2">
      <c r="A40" s="40" t="s">
        <v>516</v>
      </c>
      <c r="B40" s="41" t="s">
        <v>118</v>
      </c>
      <c r="C40" s="231">
        <v>14209859.460000001</v>
      </c>
      <c r="D40" s="238">
        <v>14179717.960000001</v>
      </c>
      <c r="E40" s="35">
        <v>10218587.18</v>
      </c>
      <c r="F40" s="325">
        <f t="shared" si="0"/>
        <v>0.72064812634679509</v>
      </c>
      <c r="G40" s="35">
        <v>10116563.98</v>
      </c>
      <c r="H40" s="325">
        <f t="shared" si="1"/>
        <v>0.71345311722970262</v>
      </c>
      <c r="I40" s="35">
        <v>20695.84</v>
      </c>
      <c r="J40" s="199">
        <f t="shared" si="2"/>
        <v>1.459538198036204E-3</v>
      </c>
      <c r="K40" s="33">
        <v>1307</v>
      </c>
      <c r="L40" s="199">
        <v>0</v>
      </c>
      <c r="M40" s="160" t="s">
        <v>135</v>
      </c>
      <c r="N40" s="593" t="s">
        <v>567</v>
      </c>
    </row>
    <row r="41" spans="1:15" ht="14.1" customHeight="1" x14ac:dyDescent="0.2">
      <c r="A41" s="40">
        <v>328</v>
      </c>
      <c r="B41" s="41" t="s">
        <v>452</v>
      </c>
      <c r="C41" s="231">
        <v>9039781.6799999997</v>
      </c>
      <c r="D41" s="238">
        <v>9039781.6799999997</v>
      </c>
      <c r="E41" s="35">
        <v>7879921.6799999997</v>
      </c>
      <c r="F41" s="325">
        <f t="shared" si="0"/>
        <v>0.8716938040034613</v>
      </c>
      <c r="G41" s="35">
        <v>7879921.6799999997</v>
      </c>
      <c r="H41" s="325">
        <f t="shared" si="1"/>
        <v>0.8716938040034613</v>
      </c>
      <c r="I41" s="35">
        <v>0</v>
      </c>
      <c r="J41" s="199">
        <f t="shared" si="2"/>
        <v>0</v>
      </c>
      <c r="K41" s="33">
        <v>0</v>
      </c>
      <c r="L41" s="199">
        <v>0</v>
      </c>
      <c r="M41" s="160" t="s">
        <v>135</v>
      </c>
      <c r="N41" s="593" t="s">
        <v>568</v>
      </c>
    </row>
    <row r="42" spans="1:15" ht="14.1" customHeight="1" x14ac:dyDescent="0.2">
      <c r="A42" s="40">
        <v>329</v>
      </c>
      <c r="B42" s="41" t="s">
        <v>541</v>
      </c>
      <c r="C42" s="231">
        <v>28919222.559999999</v>
      </c>
      <c r="D42" s="238">
        <v>28919222.559999999</v>
      </c>
      <c r="E42" s="35">
        <v>22679082.559999999</v>
      </c>
      <c r="F42" s="325">
        <f t="shared" si="0"/>
        <v>0.78422172355936248</v>
      </c>
      <c r="G42" s="35">
        <v>22679082.559999999</v>
      </c>
      <c r="H42" s="325">
        <f t="shared" si="1"/>
        <v>0.78422172355936248</v>
      </c>
      <c r="I42" s="35">
        <v>11050000</v>
      </c>
      <c r="J42" s="199">
        <f t="shared" si="2"/>
        <v>0.38209879180099232</v>
      </c>
      <c r="K42" s="33">
        <v>14000000</v>
      </c>
      <c r="L42" s="199">
        <v>0.47799999999999998</v>
      </c>
      <c r="M42" s="160">
        <f>+I42/K42-1</f>
        <v>-0.21071428571428574</v>
      </c>
      <c r="N42" s="593" t="s">
        <v>569</v>
      </c>
    </row>
    <row r="43" spans="1:15" ht="14.1" customHeight="1" x14ac:dyDescent="0.2">
      <c r="A43" s="297" t="s">
        <v>453</v>
      </c>
      <c r="B43" s="41" t="s">
        <v>504</v>
      </c>
      <c r="C43" s="231">
        <v>23154846.73</v>
      </c>
      <c r="D43" s="238">
        <v>20185083.09</v>
      </c>
      <c r="E43" s="35">
        <v>10042018.449999999</v>
      </c>
      <c r="F43" s="325">
        <f t="shared" si="0"/>
        <v>0.49749700832170313</v>
      </c>
      <c r="G43" s="35">
        <v>10042018.449999999</v>
      </c>
      <c r="H43" s="325">
        <f t="shared" si="1"/>
        <v>0.49749700832170313</v>
      </c>
      <c r="I43" s="35">
        <v>63212.480000000003</v>
      </c>
      <c r="J43" s="199">
        <f t="shared" si="2"/>
        <v>3.1316432891631959E-3</v>
      </c>
      <c r="K43" s="468">
        <v>1052805.44</v>
      </c>
      <c r="L43" s="199">
        <v>4.630917912255085E-2</v>
      </c>
      <c r="M43" s="160">
        <f>+I43/K43-1</f>
        <v>-0.93995806100697954</v>
      </c>
    </row>
    <row r="44" spans="1:15" ht="14.1" customHeight="1" x14ac:dyDescent="0.2">
      <c r="A44" s="40" t="s">
        <v>79</v>
      </c>
      <c r="B44" s="41" t="s">
        <v>114</v>
      </c>
      <c r="C44" s="231">
        <v>12497819.630000001</v>
      </c>
      <c r="D44" s="238">
        <v>12609381.789999999</v>
      </c>
      <c r="E44" s="35">
        <v>12586801.26</v>
      </c>
      <c r="F44" s="325">
        <f t="shared" si="0"/>
        <v>0.9982092278292416</v>
      </c>
      <c r="G44" s="35">
        <v>12507919.33</v>
      </c>
      <c r="H44" s="325">
        <f t="shared" si="1"/>
        <v>0.99195341518800983</v>
      </c>
      <c r="I44" s="35">
        <v>2487.85</v>
      </c>
      <c r="J44" s="199">
        <f t="shared" si="2"/>
        <v>1.9730150466004727E-4</v>
      </c>
      <c r="K44" s="468">
        <v>9407440.8599999994</v>
      </c>
      <c r="L44" s="199">
        <v>0.76303034668427727</v>
      </c>
      <c r="M44" s="160">
        <f>+I44/K44-1</f>
        <v>-0.99973554444433677</v>
      </c>
    </row>
    <row r="45" spans="1:15" ht="14.1" customHeight="1" x14ac:dyDescent="0.2">
      <c r="A45" s="40" t="s">
        <v>80</v>
      </c>
      <c r="B45" s="41" t="s">
        <v>524</v>
      </c>
      <c r="C45" s="231">
        <v>64496879.130000003</v>
      </c>
      <c r="D45" s="238">
        <v>64496879.130000003</v>
      </c>
      <c r="E45" s="35">
        <v>64496879.130000003</v>
      </c>
      <c r="F45" s="325">
        <f t="shared" si="0"/>
        <v>1</v>
      </c>
      <c r="G45" s="35">
        <v>64496879.130000003</v>
      </c>
      <c r="H45" s="325">
        <f t="shared" si="1"/>
        <v>1</v>
      </c>
      <c r="I45" s="35">
        <v>28000000</v>
      </c>
      <c r="J45" s="199">
        <f t="shared" si="2"/>
        <v>0.43412953274162552</v>
      </c>
      <c r="K45" s="33">
        <v>0</v>
      </c>
      <c r="L45" s="199">
        <f>K45/(46177328+17219551)</f>
        <v>0</v>
      </c>
      <c r="M45" s="160" t="s">
        <v>135</v>
      </c>
      <c r="N45" s="593" t="s">
        <v>570</v>
      </c>
      <c r="O45" s="320"/>
    </row>
    <row r="46" spans="1:15" ht="14.1" customHeight="1" x14ac:dyDescent="0.2">
      <c r="A46" s="40" t="s">
        <v>81</v>
      </c>
      <c r="B46" s="41" t="s">
        <v>106</v>
      </c>
      <c r="C46" s="231">
        <v>16590471.789999999</v>
      </c>
      <c r="D46" s="238">
        <v>16635254.76</v>
      </c>
      <c r="E46" s="35">
        <v>15081071.6</v>
      </c>
      <c r="F46" s="325">
        <f t="shared" si="0"/>
        <v>0.90657292705026182</v>
      </c>
      <c r="G46" s="35">
        <v>14938580.380000001</v>
      </c>
      <c r="H46" s="325">
        <f t="shared" si="1"/>
        <v>0.89800731010866708</v>
      </c>
      <c r="I46" s="35">
        <v>195957.95</v>
      </c>
      <c r="J46" s="199">
        <f t="shared" si="2"/>
        <v>1.1779678329374741E-2</v>
      </c>
      <c r="K46" s="33">
        <v>14618993</v>
      </c>
      <c r="L46" s="199">
        <v>0.52900000000000003</v>
      </c>
      <c r="M46" s="160">
        <f>+I46/K46-1</f>
        <v>-0.98659566017987699</v>
      </c>
      <c r="O46" s="320"/>
    </row>
    <row r="47" spans="1:15" ht="14.1" customHeight="1" x14ac:dyDescent="0.2">
      <c r="A47" s="297">
        <v>336</v>
      </c>
      <c r="B47" s="41" t="s">
        <v>525</v>
      </c>
      <c r="C47" s="231">
        <v>211322.62</v>
      </c>
      <c r="D47" s="238">
        <v>211322.62</v>
      </c>
      <c r="E47" s="35">
        <v>211322.62</v>
      </c>
      <c r="F47" s="325">
        <f t="shared" si="0"/>
        <v>1</v>
      </c>
      <c r="G47" s="35">
        <v>211322.62</v>
      </c>
      <c r="H47" s="325">
        <f t="shared" si="1"/>
        <v>1</v>
      </c>
      <c r="I47" s="35">
        <v>0</v>
      </c>
      <c r="J47" s="199">
        <f t="shared" si="2"/>
        <v>0</v>
      </c>
      <c r="K47" s="33">
        <v>0</v>
      </c>
      <c r="L47" s="199">
        <v>0</v>
      </c>
      <c r="M47" s="160" t="s">
        <v>135</v>
      </c>
    </row>
    <row r="48" spans="1:15" ht="14.1" customHeight="1" x14ac:dyDescent="0.2">
      <c r="A48" s="297">
        <v>337</v>
      </c>
      <c r="B48" s="41" t="s">
        <v>526</v>
      </c>
      <c r="C48" s="231">
        <v>13215052.93</v>
      </c>
      <c r="D48" s="238">
        <v>13104587.08</v>
      </c>
      <c r="E48" s="35">
        <v>9800061.7599999998</v>
      </c>
      <c r="F48" s="325">
        <f t="shared" si="0"/>
        <v>0.74783445675725935</v>
      </c>
      <c r="G48" s="35">
        <v>9409667.5099999998</v>
      </c>
      <c r="H48" s="325">
        <f t="shared" si="1"/>
        <v>0.7180438004308336</v>
      </c>
      <c r="I48" s="35">
        <v>2088320.61</v>
      </c>
      <c r="J48" s="199">
        <f t="shared" si="2"/>
        <v>0.1593579864250099</v>
      </c>
      <c r="K48" s="33">
        <v>0</v>
      </c>
      <c r="L48" s="199">
        <v>0</v>
      </c>
      <c r="M48" s="160" t="s">
        <v>135</v>
      </c>
      <c r="N48" s="593" t="s">
        <v>571</v>
      </c>
    </row>
    <row r="49" spans="1:18" ht="14.1" customHeight="1" x14ac:dyDescent="0.2">
      <c r="A49" s="297">
        <v>338</v>
      </c>
      <c r="B49" s="41" t="s">
        <v>527</v>
      </c>
      <c r="C49" s="231">
        <v>6508517.5999999996</v>
      </c>
      <c r="D49" s="238">
        <v>6583119.04</v>
      </c>
      <c r="E49" s="35">
        <v>4749716.8600000003</v>
      </c>
      <c r="F49" s="325">
        <f t="shared" si="0"/>
        <v>0.72149946418103972</v>
      </c>
      <c r="G49" s="35">
        <v>4499744.95</v>
      </c>
      <c r="H49" s="325">
        <f t="shared" si="1"/>
        <v>0.68352781146123709</v>
      </c>
      <c r="I49" s="35">
        <v>198769.04</v>
      </c>
      <c r="J49" s="199">
        <f t="shared" si="2"/>
        <v>3.0193748402884722E-2</v>
      </c>
      <c r="K49" s="468">
        <v>95862.8</v>
      </c>
      <c r="L49" s="199">
        <v>1.5063937459702473E-2</v>
      </c>
      <c r="M49" s="160">
        <f>+I49/K49-1</f>
        <v>1.0734741735063027</v>
      </c>
    </row>
    <row r="50" spans="1:18" ht="14.1" customHeight="1" x14ac:dyDescent="0.2">
      <c r="A50" s="297" t="s">
        <v>82</v>
      </c>
      <c r="B50" s="41" t="s">
        <v>119</v>
      </c>
      <c r="C50" s="231">
        <v>13397166.07</v>
      </c>
      <c r="D50" s="238">
        <v>14396018.65</v>
      </c>
      <c r="E50" s="35">
        <v>11049078.119999999</v>
      </c>
      <c r="F50" s="464">
        <f t="shared" si="0"/>
        <v>0.76750929466182649</v>
      </c>
      <c r="G50" s="35">
        <v>10856845.25</v>
      </c>
      <c r="H50" s="464">
        <f t="shared" si="1"/>
        <v>0.7541560978736298</v>
      </c>
      <c r="I50" s="35">
        <v>2102079.1</v>
      </c>
      <c r="J50" s="466">
        <f t="shared" si="2"/>
        <v>0.14601808674372618</v>
      </c>
      <c r="K50" s="555">
        <v>3015595.44</v>
      </c>
      <c r="L50" s="466">
        <v>0.17679533111739315</v>
      </c>
      <c r="M50" s="160">
        <f>+I50/K50-1</f>
        <v>-0.30293066764950405</v>
      </c>
    </row>
    <row r="51" spans="1:18" ht="14.1" customHeight="1" x14ac:dyDescent="0.2">
      <c r="A51" s="297">
        <v>342</v>
      </c>
      <c r="B51" s="41" t="s">
        <v>528</v>
      </c>
      <c r="C51" s="231">
        <v>5026210.57</v>
      </c>
      <c r="D51" s="238">
        <v>4676210.57</v>
      </c>
      <c r="E51" s="35">
        <v>4667210.57</v>
      </c>
      <c r="F51" s="464">
        <f t="shared" si="0"/>
        <v>0.99807536468572666</v>
      </c>
      <c r="G51" s="35">
        <v>4667210.57</v>
      </c>
      <c r="H51" s="464">
        <f t="shared" si="1"/>
        <v>0.99807536468572666</v>
      </c>
      <c r="I51" s="35">
        <v>2257.62</v>
      </c>
      <c r="J51" s="466">
        <f t="shared" si="2"/>
        <v>4.8278835313440551E-4</v>
      </c>
      <c r="K51" s="556">
        <v>2271.5500000000002</v>
      </c>
      <c r="L51" s="466">
        <v>5.0384239296246487E-4</v>
      </c>
      <c r="M51" s="160">
        <f>+I51/K51-1</f>
        <v>-6.1323765710639133E-3</v>
      </c>
    </row>
    <row r="52" spans="1:18" ht="14.1" customHeight="1" x14ac:dyDescent="0.2">
      <c r="A52" s="297">
        <v>343</v>
      </c>
      <c r="B52" s="41" t="s">
        <v>455</v>
      </c>
      <c r="C52" s="231">
        <v>7608676.7199999997</v>
      </c>
      <c r="D52" s="238">
        <v>7608676.7199999997</v>
      </c>
      <c r="E52" s="35">
        <v>7608676.7199999997</v>
      </c>
      <c r="F52" s="464">
        <f t="shared" si="0"/>
        <v>1</v>
      </c>
      <c r="G52" s="35">
        <v>7608676.7199999997</v>
      </c>
      <c r="H52" s="464">
        <f t="shared" si="1"/>
        <v>1</v>
      </c>
      <c r="I52" s="35">
        <v>0</v>
      </c>
      <c r="J52" s="466">
        <f t="shared" si="2"/>
        <v>0</v>
      </c>
      <c r="K52" s="557">
        <v>0</v>
      </c>
      <c r="L52" s="466">
        <v>0</v>
      </c>
      <c r="M52" s="160" t="s">
        <v>135</v>
      </c>
    </row>
    <row r="53" spans="1:18" ht="14.1" customHeight="1" x14ac:dyDescent="0.2">
      <c r="A53" s="18">
        <v>3</v>
      </c>
      <c r="B53" s="2" t="s">
        <v>128</v>
      </c>
      <c r="C53" s="232">
        <f>SUBTOTAL(9,C35:C52)</f>
        <v>301000412.49000001</v>
      </c>
      <c r="D53" s="239">
        <f>SUBTOTAL(9,D35:D52)</f>
        <v>300957158.15000004</v>
      </c>
      <c r="E53" s="234">
        <f>SUBTOTAL(9,E35:E52)</f>
        <v>254100884.99000001</v>
      </c>
      <c r="F53" s="98">
        <f t="shared" si="0"/>
        <v>0.84430915865889988</v>
      </c>
      <c r="G53" s="234">
        <f>SUBTOTAL(9,G35:G52)</f>
        <v>252696016.24999997</v>
      </c>
      <c r="H53" s="98">
        <f t="shared" si="1"/>
        <v>0.83964115624740765</v>
      </c>
      <c r="I53" s="234">
        <f>SUBTOTAL(9,I35:I52)</f>
        <v>63305674.780000001</v>
      </c>
      <c r="J53" s="190">
        <f t="shared" si="2"/>
        <v>0.21034779557709615</v>
      </c>
      <c r="K53" s="92">
        <f>SUBTOTAL(9,K35:K52)</f>
        <v>61397568.669999987</v>
      </c>
      <c r="L53" s="44">
        <v>0.19700000000000001</v>
      </c>
      <c r="M53" s="162">
        <f t="shared" ref="M53:M58" si="6">+I53/K53-1</f>
        <v>3.1077877370938145E-2</v>
      </c>
    </row>
    <row r="54" spans="1:18" ht="14.1" customHeight="1" x14ac:dyDescent="0.2">
      <c r="A54" s="38">
        <v>430</v>
      </c>
      <c r="B54" s="39" t="s">
        <v>529</v>
      </c>
      <c r="C54" s="231">
        <v>3157718.66</v>
      </c>
      <c r="D54" s="238">
        <v>3422094.52</v>
      </c>
      <c r="E54" s="35">
        <v>776003.05</v>
      </c>
      <c r="F54" s="464">
        <f t="shared" si="0"/>
        <v>0.22676259976594687</v>
      </c>
      <c r="G54" s="35">
        <v>675003.05</v>
      </c>
      <c r="H54" s="464">
        <f t="shared" si="1"/>
        <v>0.19724851141750463</v>
      </c>
      <c r="I54" s="35">
        <v>614340.36</v>
      </c>
      <c r="J54" s="199">
        <f t="shared" si="2"/>
        <v>0.17952173921835449</v>
      </c>
      <c r="K54" s="467">
        <v>193824.16</v>
      </c>
      <c r="L54" s="199">
        <v>7.0401951098325866E-2</v>
      </c>
      <c r="M54" s="159">
        <f t="shared" si="6"/>
        <v>2.1695757639295326</v>
      </c>
    </row>
    <row r="55" spans="1:18" ht="14.1" customHeight="1" x14ac:dyDescent="0.2">
      <c r="A55" s="38" t="s">
        <v>83</v>
      </c>
      <c r="B55" s="39" t="s">
        <v>107</v>
      </c>
      <c r="C55" s="231">
        <v>25783615.18</v>
      </c>
      <c r="D55" s="238">
        <v>25775202.039999999</v>
      </c>
      <c r="E55" s="35">
        <v>19916951.890000001</v>
      </c>
      <c r="F55" s="49">
        <f t="shared" si="0"/>
        <v>0.7727175856503975</v>
      </c>
      <c r="G55" s="35">
        <v>18024390.100000001</v>
      </c>
      <c r="H55" s="49">
        <f t="shared" si="1"/>
        <v>0.69929190359122406</v>
      </c>
      <c r="I55" s="35">
        <v>1088480.79</v>
      </c>
      <c r="J55" s="172">
        <f t="shared" si="2"/>
        <v>4.2229767522706879E-2</v>
      </c>
      <c r="K55" s="467">
        <v>1065025.6499999999</v>
      </c>
      <c r="L55" s="172">
        <v>3.6322907425142908E-2</v>
      </c>
      <c r="M55" s="159">
        <f t="shared" si="6"/>
        <v>2.2023075218892796E-2</v>
      </c>
    </row>
    <row r="56" spans="1:18" ht="14.1" customHeight="1" x14ac:dyDescent="0.2">
      <c r="A56" s="40" t="s">
        <v>84</v>
      </c>
      <c r="B56" s="41" t="s">
        <v>530</v>
      </c>
      <c r="C56" s="231">
        <v>4243112</v>
      </c>
      <c r="D56" s="238">
        <v>6053987.1799999997</v>
      </c>
      <c r="E56" s="35">
        <v>2969867.1</v>
      </c>
      <c r="F56" s="325">
        <f t="shared" si="0"/>
        <v>0.49056382375755214</v>
      </c>
      <c r="G56" s="35">
        <v>2960367.1</v>
      </c>
      <c r="H56" s="325">
        <f t="shared" si="1"/>
        <v>0.48899460999519334</v>
      </c>
      <c r="I56" s="35">
        <v>2095875.18</v>
      </c>
      <c r="J56" s="199">
        <f t="shared" si="2"/>
        <v>0.34619749227813862</v>
      </c>
      <c r="K56" s="468">
        <v>1326267.4099999999</v>
      </c>
      <c r="L56" s="199">
        <v>0.17746335865624496</v>
      </c>
      <c r="M56" s="160">
        <f t="shared" si="6"/>
        <v>0.58028099325761162</v>
      </c>
    </row>
    <row r="57" spans="1:18" ht="14.1" customHeight="1" x14ac:dyDescent="0.2">
      <c r="A57" s="40" t="s">
        <v>85</v>
      </c>
      <c r="B57" s="41" t="s">
        <v>108</v>
      </c>
      <c r="C57" s="231">
        <v>67192674.75</v>
      </c>
      <c r="D57" s="238">
        <v>66169256.950000003</v>
      </c>
      <c r="E57" s="35">
        <v>23154925.050000001</v>
      </c>
      <c r="F57" s="325">
        <f t="shared" si="0"/>
        <v>0.34993479022284835</v>
      </c>
      <c r="G57" s="35">
        <v>23067590.050000001</v>
      </c>
      <c r="H57" s="325">
        <f t="shared" si="1"/>
        <v>0.34861491745979173</v>
      </c>
      <c r="I57" s="35">
        <v>12357871.84</v>
      </c>
      <c r="J57" s="199">
        <f t="shared" si="2"/>
        <v>0.1867615326153364</v>
      </c>
      <c r="K57" s="468">
        <v>8997349.5800000001</v>
      </c>
      <c r="L57" s="199">
        <v>0.21650065622115114</v>
      </c>
      <c r="M57" s="160">
        <f t="shared" si="6"/>
        <v>0.37350135505127269</v>
      </c>
      <c r="O57" s="324"/>
      <c r="P57" s="324"/>
    </row>
    <row r="58" spans="1:18" ht="14.1" customHeight="1" x14ac:dyDescent="0.2">
      <c r="A58" s="40" t="s">
        <v>86</v>
      </c>
      <c r="B58" s="41" t="s">
        <v>531</v>
      </c>
      <c r="C58" s="231">
        <v>133403395</v>
      </c>
      <c r="D58" s="238">
        <v>134218044.80000001</v>
      </c>
      <c r="E58" s="35">
        <v>117688502</v>
      </c>
      <c r="F58" s="325">
        <f t="shared" si="0"/>
        <v>0.87684559982503929</v>
      </c>
      <c r="G58" s="35">
        <v>117688502</v>
      </c>
      <c r="H58" s="325">
        <f t="shared" si="1"/>
        <v>0.87684559982503929</v>
      </c>
      <c r="I58" s="35">
        <v>26379865.359999999</v>
      </c>
      <c r="J58" s="199">
        <f t="shared" si="2"/>
        <v>0.19654484908723688</v>
      </c>
      <c r="K58" s="468">
        <v>22302108.969999999</v>
      </c>
      <c r="L58" s="199">
        <v>0.22095506866402553</v>
      </c>
      <c r="M58" s="160">
        <f t="shared" si="6"/>
        <v>0.18284173911468438</v>
      </c>
      <c r="O58" s="324"/>
      <c r="P58" s="324"/>
    </row>
    <row r="59" spans="1:18" ht="14.1" customHeight="1" x14ac:dyDescent="0.2">
      <c r="A59" s="40">
        <v>491</v>
      </c>
      <c r="B59" s="41" t="s">
        <v>544</v>
      </c>
      <c r="C59" s="231">
        <v>17459000</v>
      </c>
      <c r="D59" s="238">
        <v>17459000</v>
      </c>
      <c r="E59" s="35">
        <v>17459000</v>
      </c>
      <c r="F59" s="325">
        <f t="shared" si="0"/>
        <v>1</v>
      </c>
      <c r="G59" s="35">
        <v>17459000</v>
      </c>
      <c r="H59" s="325">
        <f t="shared" si="1"/>
        <v>1</v>
      </c>
      <c r="I59" s="35">
        <v>4900000</v>
      </c>
      <c r="J59" s="199">
        <f t="shared" si="2"/>
        <v>0.28065754052351222</v>
      </c>
      <c r="K59" s="468">
        <v>7800000</v>
      </c>
      <c r="L59" s="199">
        <v>0.46745774901114706</v>
      </c>
      <c r="M59" s="160" t="s">
        <v>135</v>
      </c>
      <c r="O59" s="324"/>
      <c r="P59" s="324"/>
    </row>
    <row r="60" spans="1:18" ht="14.1" customHeight="1" x14ac:dyDescent="0.2">
      <c r="A60" s="40" t="s">
        <v>87</v>
      </c>
      <c r="B60" s="41" t="s">
        <v>532</v>
      </c>
      <c r="C60" s="231">
        <v>1138067.27</v>
      </c>
      <c r="D60" s="238">
        <v>1059997.24</v>
      </c>
      <c r="E60" s="35">
        <v>265633.14</v>
      </c>
      <c r="F60" s="325">
        <f t="shared" si="0"/>
        <v>0.25059795438712651</v>
      </c>
      <c r="G60" s="35">
        <v>145355.91</v>
      </c>
      <c r="H60" s="325">
        <f t="shared" si="1"/>
        <v>0.13712857403289089</v>
      </c>
      <c r="I60" s="35">
        <v>108123.91</v>
      </c>
      <c r="J60" s="199">
        <f t="shared" si="2"/>
        <v>0.10200395427444699</v>
      </c>
      <c r="K60" s="468">
        <v>116241.18</v>
      </c>
      <c r="L60" s="199">
        <v>9.5932315519734329E-2</v>
      </c>
      <c r="M60" s="160">
        <f t="shared" ref="M60:M68" si="7">+I60/K60-1</f>
        <v>-6.9831276661162511E-2</v>
      </c>
    </row>
    <row r="61" spans="1:18" ht="14.1" customHeight="1" x14ac:dyDescent="0.2">
      <c r="A61" s="18">
        <v>4</v>
      </c>
      <c r="B61" s="2" t="s">
        <v>127</v>
      </c>
      <c r="C61" s="232">
        <f>SUBTOTAL(9,C54:C60)</f>
        <v>252377582.86000001</v>
      </c>
      <c r="D61" s="239">
        <f>SUBTOTAL(9,D54:D60)</f>
        <v>254157582.73000002</v>
      </c>
      <c r="E61" s="234">
        <f>SUBTOTAL(9,E54:E60)</f>
        <v>182230882.22999999</v>
      </c>
      <c r="F61" s="98">
        <f t="shared" si="0"/>
        <v>0.71699958849384349</v>
      </c>
      <c r="G61" s="234">
        <f>SUBTOTAL(9,G54:G60)</f>
        <v>180020208.21000001</v>
      </c>
      <c r="H61" s="98">
        <f t="shared" si="1"/>
        <v>0.70830154377586052</v>
      </c>
      <c r="I61" s="234">
        <f>SUBTOTAL(9,I54:I60)</f>
        <v>47544557.439999998</v>
      </c>
      <c r="J61" s="190">
        <f t="shared" si="2"/>
        <v>0.18706723966016056</v>
      </c>
      <c r="K61" s="92">
        <f>SUBTOTAL(9,K54:K60)</f>
        <v>41800816.949999996</v>
      </c>
      <c r="L61" s="44">
        <v>0.20899999999999999</v>
      </c>
      <c r="M61" s="162">
        <f t="shared" si="7"/>
        <v>0.13740737404415726</v>
      </c>
    </row>
    <row r="62" spans="1:18" ht="14.1" customHeight="1" x14ac:dyDescent="0.2">
      <c r="A62" s="38" t="s">
        <v>88</v>
      </c>
      <c r="B62" s="39" t="s">
        <v>117</v>
      </c>
      <c r="C62" s="231">
        <v>27475672.920000002</v>
      </c>
      <c r="D62" s="238">
        <v>28130701.59</v>
      </c>
      <c r="E62" s="35">
        <v>8717094.8300000001</v>
      </c>
      <c r="F62" s="49">
        <f t="shared" si="0"/>
        <v>0.30987832998444603</v>
      </c>
      <c r="G62" s="35">
        <v>6410271.8300000001</v>
      </c>
      <c r="H62" s="49">
        <f t="shared" si="1"/>
        <v>0.22787458071357686</v>
      </c>
      <c r="I62" s="35">
        <v>3918641.18</v>
      </c>
      <c r="J62" s="172">
        <f t="shared" si="2"/>
        <v>0.13930122458776542</v>
      </c>
      <c r="K62" s="467">
        <v>4489888.32</v>
      </c>
      <c r="L62" s="172">
        <v>0.16128615946567695</v>
      </c>
      <c r="M62" s="159">
        <f t="shared" si="7"/>
        <v>-0.12722969911198145</v>
      </c>
    </row>
    <row r="63" spans="1:18" ht="14.1" customHeight="1" x14ac:dyDescent="0.2">
      <c r="A63" s="40" t="s">
        <v>89</v>
      </c>
      <c r="B63" s="41" t="s">
        <v>505</v>
      </c>
      <c r="C63" s="231">
        <v>55247619.460000001</v>
      </c>
      <c r="D63" s="238">
        <v>59045779.079999998</v>
      </c>
      <c r="E63" s="35">
        <v>16870788.890000001</v>
      </c>
      <c r="F63" s="325">
        <f t="shared" si="0"/>
        <v>0.28572387650507736</v>
      </c>
      <c r="G63" s="35">
        <v>12812258.699999999</v>
      </c>
      <c r="H63" s="325">
        <f t="shared" si="1"/>
        <v>0.21698856208910233</v>
      </c>
      <c r="I63" s="35">
        <v>6530352.4699999997</v>
      </c>
      <c r="J63" s="199">
        <f t="shared" si="2"/>
        <v>0.11059812524705873</v>
      </c>
      <c r="K63" s="468">
        <v>6446299.4800000004</v>
      </c>
      <c r="L63" s="199">
        <v>0.10588708384734812</v>
      </c>
      <c r="M63" s="160">
        <f t="shared" si="7"/>
        <v>1.3038952077975674E-2</v>
      </c>
    </row>
    <row r="64" spans="1:18" ht="14.1" customHeight="1" x14ac:dyDescent="0.2">
      <c r="A64" s="40" t="s">
        <v>90</v>
      </c>
      <c r="B64" s="41" t="s">
        <v>120</v>
      </c>
      <c r="C64" s="231">
        <v>6330784.5</v>
      </c>
      <c r="D64" s="238">
        <v>6534464.4199999999</v>
      </c>
      <c r="E64" s="35">
        <v>1431838.06</v>
      </c>
      <c r="F64" s="325">
        <f t="shared" si="0"/>
        <v>0.21912095130820225</v>
      </c>
      <c r="G64" s="35">
        <v>1274238.06</v>
      </c>
      <c r="H64" s="325">
        <f t="shared" si="1"/>
        <v>0.19500267781701383</v>
      </c>
      <c r="I64" s="35">
        <v>763147.94</v>
      </c>
      <c r="J64" s="199">
        <f t="shared" si="2"/>
        <v>0.11678813915708794</v>
      </c>
      <c r="K64" s="468">
        <v>709729.99</v>
      </c>
      <c r="L64" s="199">
        <v>0.11269941461265365</v>
      </c>
      <c r="M64" s="160">
        <f t="shared" si="7"/>
        <v>7.5265172322787066E-2</v>
      </c>
      <c r="Q64" s="298"/>
      <c r="R64" s="298"/>
    </row>
    <row r="65" spans="1:18" ht="14.1" customHeight="1" x14ac:dyDescent="0.2">
      <c r="A65" s="40" t="s">
        <v>91</v>
      </c>
      <c r="B65" s="41" t="s">
        <v>115</v>
      </c>
      <c r="C65" s="231">
        <v>2703306.46</v>
      </c>
      <c r="D65" s="238">
        <v>2740610.56</v>
      </c>
      <c r="E65" s="35">
        <v>540539.88</v>
      </c>
      <c r="F65" s="325">
        <f t="shared" si="0"/>
        <v>0.1972333785359128</v>
      </c>
      <c r="G65" s="35">
        <v>254218.78</v>
      </c>
      <c r="H65" s="325">
        <f t="shared" si="1"/>
        <v>9.2759906755960242E-2</v>
      </c>
      <c r="I65" s="35">
        <v>176756.38</v>
      </c>
      <c r="J65" s="199">
        <f t="shared" si="2"/>
        <v>6.4495256122781633E-2</v>
      </c>
      <c r="K65" s="468">
        <v>158217</v>
      </c>
      <c r="L65" s="199">
        <v>9.9000000000000005E-2</v>
      </c>
      <c r="M65" s="160">
        <f t="shared" si="7"/>
        <v>0.11717691524930962</v>
      </c>
      <c r="Q65" s="298"/>
      <c r="R65" s="298"/>
    </row>
    <row r="66" spans="1:18" ht="14.1" customHeight="1" x14ac:dyDescent="0.2">
      <c r="A66" s="40" t="s">
        <v>92</v>
      </c>
      <c r="B66" s="41" t="s">
        <v>109</v>
      </c>
      <c r="C66" s="231">
        <v>9126336.0500000007</v>
      </c>
      <c r="D66" s="238">
        <v>8995905.8699999992</v>
      </c>
      <c r="E66" s="35">
        <v>6613783.5999999996</v>
      </c>
      <c r="F66" s="325">
        <f t="shared" si="0"/>
        <v>0.7351992890516984</v>
      </c>
      <c r="G66" s="35">
        <v>1894788.29</v>
      </c>
      <c r="H66" s="325">
        <f t="shared" si="1"/>
        <v>0.21062784753215744</v>
      </c>
      <c r="I66" s="35">
        <v>650123.28</v>
      </c>
      <c r="J66" s="199">
        <f t="shared" si="2"/>
        <v>7.226879531588519E-2</v>
      </c>
      <c r="K66" s="468">
        <v>173534.18</v>
      </c>
      <c r="L66" s="199">
        <v>2.1619280081236602E-2</v>
      </c>
      <c r="M66" s="160">
        <f t="shared" si="7"/>
        <v>2.7463701963497913</v>
      </c>
      <c r="N66" t="s">
        <v>546</v>
      </c>
      <c r="Q66" s="298"/>
      <c r="R66" s="298"/>
    </row>
    <row r="67" spans="1:18" ht="14.1" customHeight="1" x14ac:dyDescent="0.2">
      <c r="A67" s="40" t="s">
        <v>93</v>
      </c>
      <c r="B67" s="41" t="s">
        <v>124</v>
      </c>
      <c r="C67" s="231">
        <v>36104377.189999998</v>
      </c>
      <c r="D67" s="238">
        <v>36419348.369999997</v>
      </c>
      <c r="E67" s="35">
        <v>21152987.379999999</v>
      </c>
      <c r="F67" s="325">
        <f t="shared" si="0"/>
        <v>0.58081729428812401</v>
      </c>
      <c r="G67" s="35">
        <v>15101283.23</v>
      </c>
      <c r="H67" s="325">
        <f t="shared" si="1"/>
        <v>0.41465001176241534</v>
      </c>
      <c r="I67" s="35">
        <v>2393298.5299999998</v>
      </c>
      <c r="J67" s="199">
        <f t="shared" si="2"/>
        <v>6.5715028882050261E-2</v>
      </c>
      <c r="K67" s="468">
        <v>2357237.4300000002</v>
      </c>
      <c r="L67" s="199">
        <v>6.499248403165718E-2</v>
      </c>
      <c r="M67" s="160">
        <f t="shared" si="7"/>
        <v>1.5298034699881669E-2</v>
      </c>
      <c r="Q67" s="298"/>
      <c r="R67" s="298"/>
    </row>
    <row r="68" spans="1:18" ht="14.1" customHeight="1" x14ac:dyDescent="0.2">
      <c r="A68" s="40" t="s">
        <v>94</v>
      </c>
      <c r="B68" s="41" t="s">
        <v>533</v>
      </c>
      <c r="C68" s="231">
        <v>59952489.780000001</v>
      </c>
      <c r="D68" s="238">
        <v>54644598.5</v>
      </c>
      <c r="E68" s="35">
        <v>45003719.799999997</v>
      </c>
      <c r="F68" s="325">
        <f t="shared" si="0"/>
        <v>0.82357124098917112</v>
      </c>
      <c r="G68" s="35">
        <v>45000719.799999997</v>
      </c>
      <c r="H68" s="325">
        <f t="shared" si="1"/>
        <v>0.82351634077794522</v>
      </c>
      <c r="I68" s="35">
        <v>4000246.24</v>
      </c>
      <c r="J68" s="199">
        <f t="shared" si="2"/>
        <v>7.3204787843760999E-2</v>
      </c>
      <c r="K68" s="468">
        <v>7184979</v>
      </c>
      <c r="L68" s="199">
        <v>0.13700000000000001</v>
      </c>
      <c r="M68" s="160">
        <f t="shared" si="7"/>
        <v>-0.4432487220909066</v>
      </c>
    </row>
    <row r="69" spans="1:18" ht="14.1" customHeight="1" x14ac:dyDescent="0.2">
      <c r="A69" s="40" t="s">
        <v>95</v>
      </c>
      <c r="B69" s="41" t="s">
        <v>122</v>
      </c>
      <c r="C69" s="231">
        <v>26939471.629999999</v>
      </c>
      <c r="D69" s="238">
        <v>12258382.060000001</v>
      </c>
      <c r="E69" s="35">
        <v>28225.05</v>
      </c>
      <c r="F69" s="325">
        <f t="shared" si="0"/>
        <v>2.3025102221361175E-3</v>
      </c>
      <c r="G69" s="35">
        <v>28225.05</v>
      </c>
      <c r="H69" s="325">
        <f t="shared" si="1"/>
        <v>2.3025102221361175E-3</v>
      </c>
      <c r="I69" s="35">
        <v>28225.05</v>
      </c>
      <c r="J69" s="199">
        <f t="shared" si="2"/>
        <v>2.3025102221361175E-3</v>
      </c>
      <c r="K69" s="468">
        <v>17680.88</v>
      </c>
      <c r="L69" s="199">
        <v>8.0098253485526945E-4</v>
      </c>
      <c r="M69" s="160" t="s">
        <v>135</v>
      </c>
    </row>
    <row r="70" spans="1:18" ht="14.1" customHeight="1" x14ac:dyDescent="0.2">
      <c r="A70" s="297">
        <v>931</v>
      </c>
      <c r="B70" s="41" t="s">
        <v>456</v>
      </c>
      <c r="C70" s="231">
        <v>5447022.2999999998</v>
      </c>
      <c r="D70" s="238">
        <v>5693210.6500000004</v>
      </c>
      <c r="E70" s="35">
        <v>1175004.44</v>
      </c>
      <c r="F70" s="325">
        <f t="shared" si="0"/>
        <v>0.20638696022954989</v>
      </c>
      <c r="G70" s="35">
        <v>1059752.51</v>
      </c>
      <c r="H70" s="325">
        <f t="shared" si="1"/>
        <v>0.18614321077334456</v>
      </c>
      <c r="I70" s="35">
        <v>636170.68999999994</v>
      </c>
      <c r="J70" s="199">
        <f t="shared" si="2"/>
        <v>0.11174199043557258</v>
      </c>
      <c r="K70" s="468">
        <v>563792.75</v>
      </c>
      <c r="L70" s="199">
        <v>0.10579053675342887</v>
      </c>
      <c r="M70" s="160">
        <f t="shared" ref="M70:M76" si="8">+I70/K70-1</f>
        <v>0.12837685479282945</v>
      </c>
    </row>
    <row r="71" spans="1:18" ht="14.1" customHeight="1" x14ac:dyDescent="0.2">
      <c r="A71" s="40" t="s">
        <v>96</v>
      </c>
      <c r="B71" s="41" t="s">
        <v>111</v>
      </c>
      <c r="C71" s="231">
        <v>26643946.690000001</v>
      </c>
      <c r="D71" s="238">
        <v>28355707.690000001</v>
      </c>
      <c r="E71" s="35">
        <v>26574960.350000001</v>
      </c>
      <c r="F71" s="325">
        <f t="shared" si="0"/>
        <v>0.93719968623361138</v>
      </c>
      <c r="G71" s="35">
        <v>26374993.710000001</v>
      </c>
      <c r="H71" s="325">
        <f t="shared" si="1"/>
        <v>0.93014760902269689</v>
      </c>
      <c r="I71" s="35">
        <v>2787137.77</v>
      </c>
      <c r="J71" s="199">
        <f t="shared" si="2"/>
        <v>9.8291948854548228E-2</v>
      </c>
      <c r="K71" s="468">
        <v>1479423.61</v>
      </c>
      <c r="L71" s="199">
        <v>5.6150398183431149E-2</v>
      </c>
      <c r="M71" s="160">
        <f t="shared" si="8"/>
        <v>0.88393489948426596</v>
      </c>
    </row>
    <row r="72" spans="1:18" ht="14.1" customHeight="1" x14ac:dyDescent="0.2">
      <c r="A72" s="40" t="s">
        <v>97</v>
      </c>
      <c r="B72" s="41" t="s">
        <v>112</v>
      </c>
      <c r="C72" s="231">
        <v>85426699.129999995</v>
      </c>
      <c r="D72" s="238">
        <v>88439967.069999993</v>
      </c>
      <c r="E72" s="35">
        <v>55373837.789999999</v>
      </c>
      <c r="F72" s="325">
        <f t="shared" si="0"/>
        <v>0.62611780199071942</v>
      </c>
      <c r="G72" s="35">
        <v>54185190.600000001</v>
      </c>
      <c r="H72" s="325">
        <f t="shared" si="1"/>
        <v>0.612677643322872</v>
      </c>
      <c r="I72" s="35">
        <v>4733368.34</v>
      </c>
      <c r="J72" s="199">
        <f t="shared" si="2"/>
        <v>5.3520693152831589E-2</v>
      </c>
      <c r="K72" s="468">
        <v>12974960.199999999</v>
      </c>
      <c r="L72" s="199">
        <v>7.4358095604273686E-2</v>
      </c>
      <c r="M72" s="160">
        <f t="shared" si="8"/>
        <v>-0.63519207249668486</v>
      </c>
    </row>
    <row r="73" spans="1:18" ht="14.1" customHeight="1" x14ac:dyDescent="0.2">
      <c r="A73" s="40" t="s">
        <v>98</v>
      </c>
      <c r="B73" s="41" t="s">
        <v>121</v>
      </c>
      <c r="C73" s="231">
        <v>732282.55</v>
      </c>
      <c r="D73" s="238">
        <v>732282.55</v>
      </c>
      <c r="E73" s="35">
        <v>107542.34</v>
      </c>
      <c r="F73" s="325">
        <f t="shared" si="0"/>
        <v>0.14685907782453644</v>
      </c>
      <c r="G73" s="35">
        <v>107542.34</v>
      </c>
      <c r="H73" s="325">
        <f t="shared" si="1"/>
        <v>0.14685907782453644</v>
      </c>
      <c r="I73" s="35">
        <v>107542.34</v>
      </c>
      <c r="J73" s="199">
        <f t="shared" si="2"/>
        <v>0.14685907782453644</v>
      </c>
      <c r="K73" s="468">
        <v>116449.59</v>
      </c>
      <c r="L73" s="199">
        <v>0.15221248786494904</v>
      </c>
      <c r="M73" s="160">
        <f t="shared" si="8"/>
        <v>-7.6490179141034287E-2</v>
      </c>
    </row>
    <row r="74" spans="1:18" ht="14.1" customHeight="1" x14ac:dyDescent="0.2">
      <c r="A74" s="294">
        <v>943</v>
      </c>
      <c r="B74" s="43" t="s">
        <v>123</v>
      </c>
      <c r="C74" s="231">
        <v>89097229.569999993</v>
      </c>
      <c r="D74" s="238">
        <v>89097229.569999993</v>
      </c>
      <c r="E74" s="35">
        <v>89097229.569999993</v>
      </c>
      <c r="F74" s="325">
        <f t="shared" si="0"/>
        <v>1</v>
      </c>
      <c r="G74" s="35">
        <v>89097229.569999993</v>
      </c>
      <c r="H74" s="325">
        <f t="shared" si="1"/>
        <v>1</v>
      </c>
      <c r="I74" s="35">
        <v>10502127.07</v>
      </c>
      <c r="J74" s="199">
        <f t="shared" si="2"/>
        <v>0.11787265575692132</v>
      </c>
      <c r="K74" s="469">
        <v>8563917</v>
      </c>
      <c r="L74" s="86">
        <v>9.517389737270647E-2</v>
      </c>
      <c r="M74" s="160">
        <f t="shared" si="8"/>
        <v>0.22632284619292786</v>
      </c>
      <c r="N74" s="593" t="s">
        <v>572</v>
      </c>
    </row>
    <row r="75" spans="1:18" ht="14.1" customHeight="1" thickBot="1" x14ac:dyDescent="0.25">
      <c r="A75" s="18">
        <v>9</v>
      </c>
      <c r="B75" s="2" t="s">
        <v>506</v>
      </c>
      <c r="C75" s="232">
        <f>SUBTOTAL(9,C62:C74)</f>
        <v>431227238.23000002</v>
      </c>
      <c r="D75" s="239">
        <f>SUBTOTAL(9,D62:D74)</f>
        <v>421088187.98000002</v>
      </c>
      <c r="E75" s="234">
        <f>SUBTOTAL(9,E62:E74)</f>
        <v>272687551.98000002</v>
      </c>
      <c r="F75" s="98">
        <f t="shared" si="0"/>
        <v>0.6475782502665488</v>
      </c>
      <c r="G75" s="234">
        <f>SUBTOTAL(9,G62:G74)</f>
        <v>253600712.47</v>
      </c>
      <c r="H75" s="98">
        <f t="shared" si="1"/>
        <v>0.6022508341697892</v>
      </c>
      <c r="I75" s="234">
        <f>SUBTOTAL(9,I62:I74)</f>
        <v>37227137.280000001</v>
      </c>
      <c r="J75" s="190">
        <f t="shared" si="2"/>
        <v>8.8406985383708128E-2</v>
      </c>
      <c r="K75" s="92">
        <f>SUBTOTAL(9,K62:K74)</f>
        <v>45236109.43</v>
      </c>
      <c r="L75" s="44">
        <v>8.7999999999999995E-2</v>
      </c>
      <c r="M75" s="162">
        <f t="shared" si="8"/>
        <v>-0.17704820885167794</v>
      </c>
    </row>
    <row r="76" spans="1:18" s="6" customFormat="1" ht="14.1" customHeight="1" thickBot="1" x14ac:dyDescent="0.25">
      <c r="A76" s="5"/>
      <c r="B76" s="4" t="s">
        <v>11</v>
      </c>
      <c r="C76" s="233">
        <f>SUBTOTAL(9,C5:C74)</f>
        <v>2550566229.5000014</v>
      </c>
      <c r="D76" s="240">
        <f>SUBTOTAL(9,D5:D74)</f>
        <v>2551777426.6799998</v>
      </c>
      <c r="E76" s="241">
        <f>SUBTOTAL(9,E5:E74)</f>
        <v>1593797372.0399992</v>
      </c>
      <c r="F76" s="202">
        <f>+E76/D76</f>
        <v>0.6245832239818877</v>
      </c>
      <c r="G76" s="241">
        <f>SUBTOTAL(9,G5:G74)</f>
        <v>1552019141.6499991</v>
      </c>
      <c r="H76" s="202">
        <f>+G76/D76</f>
        <v>0.60821101614228945</v>
      </c>
      <c r="I76" s="241">
        <f>SUBTOTAL(9,I5:I74)</f>
        <v>391409549.02000004</v>
      </c>
      <c r="J76" s="194">
        <f>+I76/D76</f>
        <v>0.15338702542299898</v>
      </c>
      <c r="K76" s="165">
        <f>SUBTOTAL(9,K5:K74)</f>
        <v>358282180.6500001</v>
      </c>
      <c r="L76" s="211">
        <v>0.13900000000000001</v>
      </c>
      <c r="M76" s="164">
        <f t="shared" si="8"/>
        <v>9.2461668927826146E-2</v>
      </c>
      <c r="O76" s="299"/>
      <c r="P76" s="47" t="s">
        <v>154</v>
      </c>
    </row>
    <row r="77" spans="1:18" s="317" customFormat="1" ht="14.1" customHeight="1" x14ac:dyDescent="0.2">
      <c r="A77" s="289"/>
      <c r="B77" s="314"/>
      <c r="C77" s="315"/>
      <c r="D77" s="315"/>
      <c r="E77" s="315"/>
      <c r="F77" s="316"/>
      <c r="G77" s="315"/>
      <c r="H77" s="316"/>
      <c r="I77" s="315"/>
      <c r="J77" s="316"/>
      <c r="K77" s="315"/>
      <c r="L77" s="316"/>
      <c r="M77" s="316"/>
      <c r="O77" s="318"/>
      <c r="P77" s="319"/>
    </row>
    <row r="78" spans="1:18" ht="15.75" thickBot="1" x14ac:dyDescent="0.3">
      <c r="A78" s="7" t="s">
        <v>19</v>
      </c>
      <c r="K78" s="105"/>
    </row>
    <row r="79" spans="1:18" ht="12.75" customHeight="1" x14ac:dyDescent="0.2">
      <c r="A79" s="587" t="s">
        <v>500</v>
      </c>
      <c r="B79" s="588"/>
      <c r="C79" s="183" t="s">
        <v>510</v>
      </c>
      <c r="D79" s="574" t="s">
        <v>552</v>
      </c>
      <c r="E79" s="575"/>
      <c r="F79" s="575"/>
      <c r="G79" s="575"/>
      <c r="H79" s="575"/>
      <c r="I79" s="575"/>
      <c r="J79" s="576"/>
      <c r="K79" s="573" t="s">
        <v>553</v>
      </c>
      <c r="L79" s="572"/>
      <c r="M79" s="228"/>
    </row>
    <row r="80" spans="1:18" ht="12.75" customHeight="1" x14ac:dyDescent="0.2">
      <c r="C80" s="176" t="s">
        <v>467</v>
      </c>
      <c r="D80" s="166">
        <v>2</v>
      </c>
      <c r="E80" s="95">
        <v>3</v>
      </c>
      <c r="F80" s="96" t="s">
        <v>39</v>
      </c>
      <c r="G80" s="95">
        <v>4</v>
      </c>
      <c r="H80" s="96" t="s">
        <v>40</v>
      </c>
      <c r="I80" s="95">
        <v>5</v>
      </c>
      <c r="J80" s="167" t="s">
        <v>41</v>
      </c>
      <c r="K80" s="95" t="s">
        <v>42</v>
      </c>
      <c r="L80" s="16" t="s">
        <v>43</v>
      </c>
      <c r="M80" s="157" t="s">
        <v>368</v>
      </c>
    </row>
    <row r="81" spans="1:16" ht="14.1" customHeight="1" x14ac:dyDescent="0.2">
      <c r="A81" s="1"/>
      <c r="B81" s="2" t="s">
        <v>443</v>
      </c>
      <c r="C81" s="292" t="s">
        <v>13</v>
      </c>
      <c r="D81" s="293" t="s">
        <v>14</v>
      </c>
      <c r="E81" s="97" t="s">
        <v>15</v>
      </c>
      <c r="F81" s="97" t="s">
        <v>18</v>
      </c>
      <c r="G81" s="97" t="s">
        <v>16</v>
      </c>
      <c r="H81" s="97" t="s">
        <v>18</v>
      </c>
      <c r="I81" s="97" t="s">
        <v>17</v>
      </c>
      <c r="J81" s="128" t="s">
        <v>18</v>
      </c>
      <c r="K81" s="97" t="s">
        <v>17</v>
      </c>
      <c r="L81" s="12" t="s">
        <v>18</v>
      </c>
      <c r="M81" s="290" t="s">
        <v>551</v>
      </c>
    </row>
    <row r="82" spans="1:16" ht="14.1" customHeight="1" x14ac:dyDescent="0.2">
      <c r="A82" s="17" t="s">
        <v>56</v>
      </c>
      <c r="B82" s="13" t="s">
        <v>99</v>
      </c>
      <c r="C82" s="230">
        <v>36667752.200000003</v>
      </c>
      <c r="D82" s="33">
        <v>36667752.200000003</v>
      </c>
      <c r="E82" s="33">
        <v>6737833.7000000002</v>
      </c>
      <c r="F82" s="86">
        <f>+E82/D82</f>
        <v>0.18375366079843858</v>
      </c>
      <c r="G82" s="33">
        <v>6737833.7000000002</v>
      </c>
      <c r="H82" s="86">
        <f>+G82/D82</f>
        <v>0.18375366079843858</v>
      </c>
      <c r="I82" s="33">
        <v>6737833.7000000002</v>
      </c>
      <c r="J82" s="193">
        <f>+I82/D82</f>
        <v>0.18375366079843858</v>
      </c>
      <c r="K82" s="470">
        <v>10609692.039999999</v>
      </c>
      <c r="L82" s="61">
        <v>0.25507531443116871</v>
      </c>
      <c r="M82" s="185">
        <f>+I82/K82-1</f>
        <v>-0.36493597791552856</v>
      </c>
    </row>
    <row r="83" spans="1:16" ht="14.1" customHeight="1" x14ac:dyDescent="0.2">
      <c r="A83" s="18">
        <v>0</v>
      </c>
      <c r="B83" s="2" t="s">
        <v>99</v>
      </c>
      <c r="C83" s="232">
        <f>SUBTOTAL(9,C82:C82)</f>
        <v>36667752.200000003</v>
      </c>
      <c r="D83" s="239">
        <f>SUBTOTAL(9,D82:D82)</f>
        <v>36667752.200000003</v>
      </c>
      <c r="E83" s="234">
        <f>SUBTOTAL(9,E82:E82)</f>
        <v>6737833.7000000002</v>
      </c>
      <c r="F83" s="98">
        <f t="shared" ref="F83:F110" si="9">+E83/D83</f>
        <v>0.18375366079843858</v>
      </c>
      <c r="G83" s="234">
        <f>SUBTOTAL(9,G82:G82)</f>
        <v>6737833.7000000002</v>
      </c>
      <c r="H83" s="98">
        <f t="shared" ref="H83:H110" si="10">+G83/D83</f>
        <v>0.18375366079843858</v>
      </c>
      <c r="I83" s="234">
        <f>SUBTOTAL(9,I82:I82)</f>
        <v>6737833.7000000002</v>
      </c>
      <c r="J83" s="190">
        <f t="shared" ref="J83:J110" si="11">+I83/D83</f>
        <v>0.18375366079843858</v>
      </c>
      <c r="K83" s="92">
        <f>SUBTOTAL(9,K82:K82)</f>
        <v>10609692.039999999</v>
      </c>
      <c r="L83" s="44">
        <v>0.255</v>
      </c>
      <c r="M83" s="162">
        <f>+I83/K83-1</f>
        <v>-0.36493597791552856</v>
      </c>
    </row>
    <row r="84" spans="1:16" ht="14.1" customHeight="1" x14ac:dyDescent="0.2">
      <c r="A84" s="38" t="s">
        <v>57</v>
      </c>
      <c r="B84" s="39" t="s">
        <v>507</v>
      </c>
      <c r="C84" s="230">
        <v>7424467.5899999999</v>
      </c>
      <c r="D84" s="33">
        <v>7742612.6100000003</v>
      </c>
      <c r="E84" s="33">
        <v>1764313.53</v>
      </c>
      <c r="F84" s="49">
        <f t="shared" si="9"/>
        <v>0.22787056758093441</v>
      </c>
      <c r="G84" s="33">
        <v>1566966.92</v>
      </c>
      <c r="H84" s="49">
        <f t="shared" si="10"/>
        <v>0.20238219305666641</v>
      </c>
      <c r="I84" s="33">
        <v>1153408.72</v>
      </c>
      <c r="J84" s="172">
        <f t="shared" si="11"/>
        <v>0.14896893052744375</v>
      </c>
      <c r="K84" s="467">
        <v>1041589.93</v>
      </c>
      <c r="L84" s="53">
        <v>0.13443520370592499</v>
      </c>
      <c r="M84" s="159">
        <f>+I84/K84-1</f>
        <v>0.10735394686467448</v>
      </c>
    </row>
    <row r="85" spans="1:16" ht="14.1" customHeight="1" x14ac:dyDescent="0.2">
      <c r="A85" s="40" t="s">
        <v>58</v>
      </c>
      <c r="B85" s="41" t="s">
        <v>110</v>
      </c>
      <c r="C85" s="230">
        <v>167280142.05000001</v>
      </c>
      <c r="D85" s="33">
        <v>173065068.63999999</v>
      </c>
      <c r="E85" s="33">
        <v>30670710.809999999</v>
      </c>
      <c r="F85" s="325">
        <f t="shared" si="9"/>
        <v>0.17722068959969878</v>
      </c>
      <c r="G85" s="33">
        <v>29526414.379999999</v>
      </c>
      <c r="H85" s="325">
        <f t="shared" si="10"/>
        <v>0.17060874624803202</v>
      </c>
      <c r="I85" s="33">
        <v>22683199.510000002</v>
      </c>
      <c r="J85" s="199">
        <f t="shared" si="11"/>
        <v>0.13106746317007675</v>
      </c>
      <c r="K85" s="468">
        <v>22523901.300000001</v>
      </c>
      <c r="L85" s="55">
        <v>0.13148843809222374</v>
      </c>
      <c r="M85" s="160">
        <f>+I85/K85-1</f>
        <v>7.0724075673338493E-3</v>
      </c>
      <c r="N85" s="54" t="s">
        <v>154</v>
      </c>
    </row>
    <row r="86" spans="1:16" ht="14.1" customHeight="1" x14ac:dyDescent="0.2">
      <c r="A86" s="40" t="s">
        <v>59</v>
      </c>
      <c r="B86" s="41" t="s">
        <v>126</v>
      </c>
      <c r="C86" s="230">
        <v>51836587</v>
      </c>
      <c r="D86" s="33">
        <v>51836587</v>
      </c>
      <c r="E86" s="33">
        <v>0</v>
      </c>
      <c r="F86" s="325">
        <f t="shared" si="9"/>
        <v>0</v>
      </c>
      <c r="G86" s="33">
        <v>0</v>
      </c>
      <c r="H86" s="325">
        <f t="shared" si="10"/>
        <v>0</v>
      </c>
      <c r="I86" s="33">
        <v>0</v>
      </c>
      <c r="J86" s="199">
        <f t="shared" si="11"/>
        <v>0</v>
      </c>
      <c r="K86" s="468">
        <v>631530</v>
      </c>
      <c r="L86" s="55">
        <v>8.9999999999999993E-3</v>
      </c>
      <c r="M86" s="160">
        <f>+I86/K86-1</f>
        <v>-1</v>
      </c>
    </row>
    <row r="87" spans="1:16" ht="14.1" customHeight="1" x14ac:dyDescent="0.2">
      <c r="A87" s="40">
        <v>134</v>
      </c>
      <c r="B87" s="41" t="s">
        <v>511</v>
      </c>
      <c r="C87" s="230">
        <v>15463303.810000001</v>
      </c>
      <c r="D87" s="33">
        <v>15485216</v>
      </c>
      <c r="E87" s="33">
        <v>10628231.99</v>
      </c>
      <c r="F87" s="325">
        <f t="shared" si="9"/>
        <v>0.68634702867560904</v>
      </c>
      <c r="G87" s="33">
        <v>7782098.9400000004</v>
      </c>
      <c r="H87" s="325">
        <f t="shared" si="10"/>
        <v>0.50255023501125207</v>
      </c>
      <c r="I87" s="33">
        <v>584326.87</v>
      </c>
      <c r="J87" s="199">
        <f t="shared" si="11"/>
        <v>3.7734499150673777E-2</v>
      </c>
      <c r="K87" s="468">
        <v>0</v>
      </c>
      <c r="L87" s="55">
        <v>0</v>
      </c>
      <c r="M87" s="160" t="s">
        <v>135</v>
      </c>
      <c r="N87" s="593" t="s">
        <v>558</v>
      </c>
    </row>
    <row r="88" spans="1:16" ht="14.1" customHeight="1" x14ac:dyDescent="0.2">
      <c r="A88" s="40" t="s">
        <v>60</v>
      </c>
      <c r="B88" s="41" t="s">
        <v>518</v>
      </c>
      <c r="C88" s="230">
        <v>1692440.07</v>
      </c>
      <c r="D88" s="33">
        <v>329402.94</v>
      </c>
      <c r="E88" s="33">
        <v>57564.54</v>
      </c>
      <c r="F88" s="325">
        <f t="shared" si="9"/>
        <v>0.17475417796817477</v>
      </c>
      <c r="G88" s="33">
        <v>57564.54</v>
      </c>
      <c r="H88" s="325">
        <f t="shared" si="10"/>
        <v>0.17475417796817477</v>
      </c>
      <c r="I88" s="33">
        <v>57564.54</v>
      </c>
      <c r="J88" s="199">
        <f t="shared" si="11"/>
        <v>0.17475417796817477</v>
      </c>
      <c r="K88" s="473">
        <v>0</v>
      </c>
      <c r="L88" s="55">
        <v>0</v>
      </c>
      <c r="M88" s="160" t="s">
        <v>135</v>
      </c>
      <c r="N88" s="593" t="s">
        <v>558</v>
      </c>
      <c r="O88" s="320"/>
    </row>
    <row r="89" spans="1:16" ht="14.1" customHeight="1" x14ac:dyDescent="0.2">
      <c r="A89" s="40">
        <v>136</v>
      </c>
      <c r="B89" s="41" t="s">
        <v>512</v>
      </c>
      <c r="C89" s="230">
        <v>38450866.25</v>
      </c>
      <c r="D89" s="33">
        <v>42420993.229999997</v>
      </c>
      <c r="E89" s="33">
        <v>7757603.8200000003</v>
      </c>
      <c r="F89" s="325">
        <f t="shared" si="9"/>
        <v>0.18287181014219739</v>
      </c>
      <c r="G89" s="33">
        <v>7179687.2800000003</v>
      </c>
      <c r="H89" s="325">
        <f t="shared" si="10"/>
        <v>0.16924844831126085</v>
      </c>
      <c r="I89" s="33">
        <v>5667207.4699999997</v>
      </c>
      <c r="J89" s="199">
        <f t="shared" si="11"/>
        <v>0.13359440782711726</v>
      </c>
      <c r="K89" s="468">
        <v>5135804.99</v>
      </c>
      <c r="L89" s="55">
        <v>0.12815793168405279</v>
      </c>
      <c r="M89" s="160">
        <f t="shared" ref="M89:M97" si="12">+I89/K89-1</f>
        <v>0.10347014363565221</v>
      </c>
      <c r="N89" s="593" t="s">
        <v>559</v>
      </c>
      <c r="O89" s="320"/>
    </row>
    <row r="90" spans="1:16" ht="14.1" customHeight="1" x14ac:dyDescent="0.2">
      <c r="A90" s="40" t="s">
        <v>61</v>
      </c>
      <c r="B90" s="41" t="s">
        <v>508</v>
      </c>
      <c r="C90" s="230">
        <v>19474656.210000001</v>
      </c>
      <c r="D90" s="33">
        <v>20923282.82</v>
      </c>
      <c r="E90" s="33">
        <v>10185512.140000001</v>
      </c>
      <c r="F90" s="325">
        <f t="shared" si="9"/>
        <v>0.48680277505325048</v>
      </c>
      <c r="G90" s="33">
        <v>9456617.8000000007</v>
      </c>
      <c r="H90" s="325">
        <f t="shared" si="10"/>
        <v>0.45196625602941598</v>
      </c>
      <c r="I90" s="33">
        <v>3369264.17</v>
      </c>
      <c r="J90" s="199">
        <f t="shared" si="11"/>
        <v>0.16102942348890928</v>
      </c>
      <c r="K90" s="468">
        <v>3382098.47</v>
      </c>
      <c r="L90" s="55">
        <v>0.18654587784815843</v>
      </c>
      <c r="M90" s="160">
        <f t="shared" si="12"/>
        <v>-3.7947741953238134E-3</v>
      </c>
      <c r="O90" s="320"/>
      <c r="P90" s="320"/>
    </row>
    <row r="91" spans="1:16" ht="14.1" customHeight="1" x14ac:dyDescent="0.2">
      <c r="A91" s="40" t="s">
        <v>62</v>
      </c>
      <c r="B91" s="41" t="s">
        <v>519</v>
      </c>
      <c r="C91" s="230">
        <v>27557934.539999999</v>
      </c>
      <c r="D91" s="33">
        <v>27482485.039999999</v>
      </c>
      <c r="E91" s="33">
        <v>14528421.82</v>
      </c>
      <c r="F91" s="325">
        <f t="shared" si="9"/>
        <v>0.52864294472840734</v>
      </c>
      <c r="G91" s="33">
        <v>14127216.26</v>
      </c>
      <c r="H91" s="325">
        <f t="shared" si="10"/>
        <v>0.51404435368338153</v>
      </c>
      <c r="I91" s="33">
        <v>3435244.81</v>
      </c>
      <c r="J91" s="199">
        <f t="shared" si="11"/>
        <v>0.12499760502007355</v>
      </c>
      <c r="K91" s="468">
        <v>5811766.0899999999</v>
      </c>
      <c r="L91" s="55">
        <v>0.19163837184404306</v>
      </c>
      <c r="M91" s="160">
        <f t="shared" si="12"/>
        <v>-0.40891550747184313</v>
      </c>
      <c r="O91" s="320"/>
      <c r="P91" s="320"/>
    </row>
    <row r="92" spans="1:16" ht="14.1" customHeight="1" x14ac:dyDescent="0.2">
      <c r="A92" s="40">
        <v>152</v>
      </c>
      <c r="B92" s="41" t="s">
        <v>513</v>
      </c>
      <c r="C92" s="230">
        <v>23402734.940000001</v>
      </c>
      <c r="D92" s="33">
        <v>23341024.940000001</v>
      </c>
      <c r="E92" s="33">
        <v>7028414.3300000001</v>
      </c>
      <c r="F92" s="325">
        <f t="shared" si="9"/>
        <v>0.30111849621287451</v>
      </c>
      <c r="G92" s="33">
        <v>6968414.3300000001</v>
      </c>
      <c r="H92" s="325">
        <f t="shared" si="10"/>
        <v>0.29854791500856859</v>
      </c>
      <c r="I92" s="33">
        <v>1500057</v>
      </c>
      <c r="J92" s="199">
        <f t="shared" si="11"/>
        <v>6.4266972159792393E-2</v>
      </c>
      <c r="K92" s="468">
        <v>2081178.09</v>
      </c>
      <c r="L92" s="55">
        <v>0.40490844673048787</v>
      </c>
      <c r="M92" s="160">
        <f t="shared" si="12"/>
        <v>-0.279226988210317</v>
      </c>
      <c r="N92" s="593" t="s">
        <v>560</v>
      </c>
      <c r="O92" s="320"/>
      <c r="P92" s="320"/>
    </row>
    <row r="93" spans="1:16" ht="14.1" customHeight="1" x14ac:dyDescent="0.2">
      <c r="A93" s="40" t="s">
        <v>63</v>
      </c>
      <c r="B93" s="41" t="s">
        <v>101</v>
      </c>
      <c r="C93" s="230">
        <v>27896547.940000001</v>
      </c>
      <c r="D93" s="33">
        <v>27635152.91</v>
      </c>
      <c r="E93" s="33">
        <v>20493041.879999999</v>
      </c>
      <c r="F93" s="325">
        <f t="shared" si="9"/>
        <v>0.7415570287141211</v>
      </c>
      <c r="G93" s="33">
        <v>19934039.079999998</v>
      </c>
      <c r="H93" s="325">
        <f t="shared" si="10"/>
        <v>0.72132906754377712</v>
      </c>
      <c r="I93" s="33">
        <v>1222304.6100000001</v>
      </c>
      <c r="J93" s="199">
        <f t="shared" si="11"/>
        <v>4.4230065018301359E-2</v>
      </c>
      <c r="K93" s="468">
        <f>1428155+1901815</f>
        <v>3329970</v>
      </c>
      <c r="L93" s="55">
        <f>K93/(23521643+10649162)</f>
        <v>9.7450733162417452E-2</v>
      </c>
      <c r="M93" s="160">
        <f t="shared" si="12"/>
        <v>-0.63293825169596118</v>
      </c>
      <c r="N93" s="593" t="s">
        <v>561</v>
      </c>
      <c r="O93" s="321"/>
    </row>
    <row r="94" spans="1:16" ht="14.1" customHeight="1" x14ac:dyDescent="0.2">
      <c r="A94" s="40" t="s">
        <v>534</v>
      </c>
      <c r="B94" s="594" t="s">
        <v>168</v>
      </c>
      <c r="C94" s="230">
        <v>20724083.260000002</v>
      </c>
      <c r="D94" s="33">
        <v>23008747.550000001</v>
      </c>
      <c r="E94" s="33">
        <v>22963333.48</v>
      </c>
      <c r="F94" s="325">
        <f t="shared" si="9"/>
        <v>0.99802622589946233</v>
      </c>
      <c r="G94" s="33">
        <v>22963333.48</v>
      </c>
      <c r="H94" s="325">
        <f t="shared" si="10"/>
        <v>0.99802622589946233</v>
      </c>
      <c r="I94" s="33">
        <v>3211518.3</v>
      </c>
      <c r="J94" s="199">
        <f t="shared" si="11"/>
        <v>0.13957814492166914</v>
      </c>
      <c r="K94" s="468">
        <v>4520249</v>
      </c>
      <c r="L94" s="55">
        <v>0.193</v>
      </c>
      <c r="M94" s="160">
        <f t="shared" si="12"/>
        <v>-0.28952624070045707</v>
      </c>
      <c r="N94" s="593" t="s">
        <v>573</v>
      </c>
      <c r="O94" s="320"/>
      <c r="P94" s="320"/>
    </row>
    <row r="95" spans="1:16" ht="14.1" customHeight="1" x14ac:dyDescent="0.2">
      <c r="A95" s="40" t="s">
        <v>64</v>
      </c>
      <c r="B95" s="594" t="s">
        <v>521</v>
      </c>
      <c r="C95" s="230">
        <v>2253145.13</v>
      </c>
      <c r="D95" s="33">
        <v>2253145.13</v>
      </c>
      <c r="E95" s="33">
        <v>1745458.09</v>
      </c>
      <c r="F95" s="325">
        <f t="shared" si="9"/>
        <v>0.77467628106139796</v>
      </c>
      <c r="G95" s="33">
        <v>1745458.09</v>
      </c>
      <c r="H95" s="325">
        <f t="shared" si="10"/>
        <v>0.77467628106139796</v>
      </c>
      <c r="I95" s="33">
        <v>0</v>
      </c>
      <c r="J95" s="199">
        <f t="shared" si="11"/>
        <v>0</v>
      </c>
      <c r="K95" s="468">
        <v>0</v>
      </c>
      <c r="L95" s="55">
        <v>0</v>
      </c>
      <c r="M95" s="160" t="s">
        <v>135</v>
      </c>
      <c r="N95" s="593" t="s">
        <v>558</v>
      </c>
    </row>
    <row r="96" spans="1:16" ht="14.1" customHeight="1" x14ac:dyDescent="0.2">
      <c r="A96" s="40" t="s">
        <v>65</v>
      </c>
      <c r="B96" s="41" t="s">
        <v>535</v>
      </c>
      <c r="C96" s="230">
        <v>158630554.56</v>
      </c>
      <c r="D96" s="33">
        <v>148712261.38</v>
      </c>
      <c r="E96" s="33">
        <v>141187609.46000001</v>
      </c>
      <c r="F96" s="325">
        <f t="shared" si="9"/>
        <v>0.94940126758766397</v>
      </c>
      <c r="G96" s="33">
        <v>141187609.46000001</v>
      </c>
      <c r="H96" s="325">
        <f t="shared" si="10"/>
        <v>0.94940126758766397</v>
      </c>
      <c r="I96" s="33">
        <v>4043037.48</v>
      </c>
      <c r="J96" s="199">
        <f t="shared" si="11"/>
        <v>2.7186981372497237E-2</v>
      </c>
      <c r="K96" s="468">
        <v>36366.519999999997</v>
      </c>
      <c r="L96" s="55">
        <v>2.3845616154511285E-4</v>
      </c>
      <c r="M96" s="160">
        <f t="shared" si="12"/>
        <v>110.17471454513658</v>
      </c>
    </row>
    <row r="97" spans="1:14" ht="14.1" customHeight="1" x14ac:dyDescent="0.2">
      <c r="A97" s="40" t="s">
        <v>66</v>
      </c>
      <c r="B97" s="41" t="s">
        <v>102</v>
      </c>
      <c r="C97" s="230">
        <v>168939654.47999999</v>
      </c>
      <c r="D97" s="33">
        <v>177046843.99000001</v>
      </c>
      <c r="E97" s="33">
        <v>175623770.11000001</v>
      </c>
      <c r="F97" s="325">
        <f t="shared" si="9"/>
        <v>0.99196216183282893</v>
      </c>
      <c r="G97" s="33">
        <v>175618170.11000001</v>
      </c>
      <c r="H97" s="325">
        <f t="shared" si="10"/>
        <v>0.99193053178580981</v>
      </c>
      <c r="I97" s="33">
        <v>570651.80000000005</v>
      </c>
      <c r="J97" s="199">
        <f t="shared" si="11"/>
        <v>3.2231684402814417E-3</v>
      </c>
      <c r="K97" s="468">
        <v>439692.02</v>
      </c>
      <c r="L97" s="55">
        <v>2.5441172158343784E-3</v>
      </c>
      <c r="M97" s="160">
        <f t="shared" si="12"/>
        <v>0.29784434113678038</v>
      </c>
    </row>
    <row r="98" spans="1:14" ht="14.1" customHeight="1" x14ac:dyDescent="0.2">
      <c r="A98" s="40" t="s">
        <v>67</v>
      </c>
      <c r="B98" s="41" t="s">
        <v>536</v>
      </c>
      <c r="C98" s="230">
        <v>12029885</v>
      </c>
      <c r="D98" s="33">
        <v>12029885</v>
      </c>
      <c r="E98" s="33">
        <v>0</v>
      </c>
      <c r="F98" s="325">
        <f t="shared" si="9"/>
        <v>0</v>
      </c>
      <c r="G98" s="33">
        <v>0</v>
      </c>
      <c r="H98" s="325">
        <f t="shared" si="10"/>
        <v>0</v>
      </c>
      <c r="I98" s="33">
        <v>0</v>
      </c>
      <c r="J98" s="199">
        <f t="shared" si="11"/>
        <v>0</v>
      </c>
      <c r="K98" s="468">
        <v>0</v>
      </c>
      <c r="L98" s="55">
        <v>0</v>
      </c>
      <c r="M98" s="160" t="s">
        <v>135</v>
      </c>
    </row>
    <row r="99" spans="1:14" ht="14.1" customHeight="1" x14ac:dyDescent="0.2">
      <c r="A99" s="40" t="s">
        <v>68</v>
      </c>
      <c r="B99" s="41" t="s">
        <v>103</v>
      </c>
      <c r="C99" s="230">
        <v>31201317.460000001</v>
      </c>
      <c r="D99" s="33">
        <v>30488453.690000001</v>
      </c>
      <c r="E99" s="33">
        <v>25445215.640000001</v>
      </c>
      <c r="F99" s="325">
        <f t="shared" si="9"/>
        <v>0.83458531215526532</v>
      </c>
      <c r="G99" s="33">
        <v>25445215.640000001</v>
      </c>
      <c r="H99" s="325">
        <f t="shared" si="10"/>
        <v>0.83458531215526532</v>
      </c>
      <c r="I99" s="33">
        <v>1123814.98</v>
      </c>
      <c r="J99" s="199">
        <f t="shared" si="11"/>
        <v>3.686034691777771E-2</v>
      </c>
      <c r="K99" s="468">
        <v>2434736.5499999998</v>
      </c>
      <c r="L99" s="55">
        <v>9.0849208849039659E-2</v>
      </c>
      <c r="M99" s="160">
        <f>+I99/K99-1</f>
        <v>-0.53842440160517568</v>
      </c>
    </row>
    <row r="100" spans="1:14" ht="14.1" customHeight="1" x14ac:dyDescent="0.2">
      <c r="A100" s="40" t="s">
        <v>69</v>
      </c>
      <c r="B100" s="41" t="s">
        <v>116</v>
      </c>
      <c r="C100" s="230">
        <v>1332914.3600000001</v>
      </c>
      <c r="D100" s="33">
        <v>1332914.3600000001</v>
      </c>
      <c r="E100" s="33">
        <v>1283353.8899999999</v>
      </c>
      <c r="F100" s="325">
        <f t="shared" si="9"/>
        <v>0.96281796378876117</v>
      </c>
      <c r="G100" s="33">
        <v>738035.47</v>
      </c>
      <c r="H100" s="325">
        <f t="shared" si="10"/>
        <v>0.55370059183697284</v>
      </c>
      <c r="I100" s="33">
        <v>61178.86</v>
      </c>
      <c r="J100" s="199">
        <f t="shared" si="11"/>
        <v>4.5898567706930543E-2</v>
      </c>
      <c r="K100" s="468">
        <v>39787.53</v>
      </c>
      <c r="L100" s="55">
        <v>3.1703211155378483E-2</v>
      </c>
      <c r="M100" s="160" t="s">
        <v>135</v>
      </c>
    </row>
    <row r="101" spans="1:14" ht="14.1" customHeight="1" x14ac:dyDescent="0.2">
      <c r="A101" s="40" t="s">
        <v>70</v>
      </c>
      <c r="B101" s="41" t="s">
        <v>113</v>
      </c>
      <c r="C101" s="230">
        <v>47869228.009999998</v>
      </c>
      <c r="D101" s="33">
        <v>47869228.009999998</v>
      </c>
      <c r="E101" s="33">
        <v>47494228</v>
      </c>
      <c r="F101" s="325">
        <f t="shared" si="9"/>
        <v>0.99216615714125034</v>
      </c>
      <c r="G101" s="33">
        <v>47494228</v>
      </c>
      <c r="H101" s="325">
        <f t="shared" si="10"/>
        <v>0.99216615714125034</v>
      </c>
      <c r="I101" s="33">
        <v>7000000</v>
      </c>
      <c r="J101" s="199">
        <f t="shared" si="11"/>
        <v>0.1462317294638151</v>
      </c>
      <c r="K101" s="468">
        <v>4507756.66</v>
      </c>
      <c r="L101" s="55">
        <v>9.3908041900944553E-2</v>
      </c>
      <c r="M101" s="160">
        <f>+I101/K101-1</f>
        <v>0.55287885482265575</v>
      </c>
    </row>
    <row r="102" spans="1:14" ht="14.1" customHeight="1" x14ac:dyDescent="0.2">
      <c r="A102" s="42" t="s">
        <v>537</v>
      </c>
      <c r="B102" s="43" t="s">
        <v>538</v>
      </c>
      <c r="C102" s="230">
        <v>2485349.2200000002</v>
      </c>
      <c r="D102" s="33">
        <v>2501546.7400000002</v>
      </c>
      <c r="E102" s="33">
        <v>1295854.2</v>
      </c>
      <c r="F102" s="325">
        <f t="shared" si="9"/>
        <v>0.51802118236655448</v>
      </c>
      <c r="G102" s="33">
        <v>1151667.1299999999</v>
      </c>
      <c r="H102" s="325">
        <f t="shared" si="10"/>
        <v>0.46038201548854524</v>
      </c>
      <c r="I102" s="33">
        <v>131964.38</v>
      </c>
      <c r="J102" s="199">
        <f t="shared" si="11"/>
        <v>5.2753113859467599E-2</v>
      </c>
      <c r="K102" s="468">
        <v>0</v>
      </c>
      <c r="L102" s="55">
        <v>0</v>
      </c>
      <c r="M102" s="160" t="s">
        <v>135</v>
      </c>
      <c r="N102" s="593" t="s">
        <v>558</v>
      </c>
    </row>
    <row r="103" spans="1:14" ht="14.1" customHeight="1" x14ac:dyDescent="0.2">
      <c r="A103" s="42" t="s">
        <v>71</v>
      </c>
      <c r="B103" s="43" t="s">
        <v>137</v>
      </c>
      <c r="C103" s="230">
        <v>1483166.28</v>
      </c>
      <c r="D103" s="33">
        <v>1483166.28</v>
      </c>
      <c r="E103" s="33">
        <v>1319235.6000000001</v>
      </c>
      <c r="F103" s="464">
        <f t="shared" si="9"/>
        <v>0.88947248719813132</v>
      </c>
      <c r="G103" s="33">
        <v>1153813.73</v>
      </c>
      <c r="H103" s="464">
        <f t="shared" si="10"/>
        <v>0.77793956453756485</v>
      </c>
      <c r="I103" s="33">
        <v>336846.11</v>
      </c>
      <c r="J103" s="466">
        <f t="shared" si="11"/>
        <v>0.22711284266791718</v>
      </c>
      <c r="K103" s="468">
        <v>535151</v>
      </c>
      <c r="L103" s="55">
        <v>0.14199999999999999</v>
      </c>
      <c r="M103" s="160">
        <f t="shared" ref="M103:M109" si="13">+I103/K103-1</f>
        <v>-0.37055875818227013</v>
      </c>
    </row>
    <row r="104" spans="1:14" ht="14.1" customHeight="1" x14ac:dyDescent="0.2">
      <c r="A104" s="18">
        <v>1</v>
      </c>
      <c r="B104" s="2" t="s">
        <v>130</v>
      </c>
      <c r="C104" s="232">
        <f>SUBTOTAL(9,C84:C103)</f>
        <v>827428978.15999997</v>
      </c>
      <c r="D104" s="239">
        <f>SUBTOTAL(9,D84:D103)</f>
        <v>836988018.26000011</v>
      </c>
      <c r="E104" s="234">
        <f>SUBTOTAL(9,E84:E103)</f>
        <v>521471873.32999998</v>
      </c>
      <c r="F104" s="98">
        <f t="shared" si="9"/>
        <v>0.62303385706055725</v>
      </c>
      <c r="G104" s="234">
        <f>SUBTOTAL(9,G84:G103)</f>
        <v>514096550.64000005</v>
      </c>
      <c r="H104" s="98">
        <f t="shared" si="10"/>
        <v>0.61422211480248723</v>
      </c>
      <c r="I104" s="234">
        <f>SUBTOTAL(9,I84:I103)</f>
        <v>56151589.609999992</v>
      </c>
      <c r="J104" s="190">
        <f t="shared" si="11"/>
        <v>6.7087686304915767E-2</v>
      </c>
      <c r="K104" s="92">
        <f>SUBTOTAL(9,K84:K103)</f>
        <v>56451578.150000006</v>
      </c>
      <c r="L104" s="44">
        <v>6.9000000000000006E-2</v>
      </c>
      <c r="M104" s="162">
        <f t="shared" si="13"/>
        <v>-5.3140859800748785E-3</v>
      </c>
    </row>
    <row r="105" spans="1:14" ht="14.1" customHeight="1" x14ac:dyDescent="0.2">
      <c r="A105" s="38" t="s">
        <v>72</v>
      </c>
      <c r="B105" s="39" t="s">
        <v>104</v>
      </c>
      <c r="C105" s="230">
        <v>708758.5</v>
      </c>
      <c r="D105" s="33">
        <v>654494.4</v>
      </c>
      <c r="E105" s="33">
        <v>92975.53</v>
      </c>
      <c r="F105" s="49">
        <f t="shared" si="9"/>
        <v>0.14205702905937773</v>
      </c>
      <c r="G105" s="33">
        <v>92975.53</v>
      </c>
      <c r="H105" s="49">
        <f t="shared" si="10"/>
        <v>0.14205702905937773</v>
      </c>
      <c r="I105" s="33">
        <v>92975.53</v>
      </c>
      <c r="J105" s="172">
        <f t="shared" si="11"/>
        <v>0.14205702905937773</v>
      </c>
      <c r="K105" s="467">
        <v>108091.52</v>
      </c>
      <c r="L105" s="53">
        <v>0.14446818013123072</v>
      </c>
      <c r="M105" s="159">
        <f t="shared" si="13"/>
        <v>-0.13984436521939936</v>
      </c>
    </row>
    <row r="106" spans="1:14" ht="14.1" customHeight="1" x14ac:dyDescent="0.2">
      <c r="A106" s="40" t="s">
        <v>73</v>
      </c>
      <c r="B106" s="41" t="s">
        <v>539</v>
      </c>
      <c r="C106" s="230">
        <v>20680688.129999999</v>
      </c>
      <c r="D106" s="33">
        <v>20803331.84</v>
      </c>
      <c r="E106" s="33">
        <v>4993489.29</v>
      </c>
      <c r="F106" s="325">
        <f t="shared" si="9"/>
        <v>0.24003315086281871</v>
      </c>
      <c r="G106" s="33">
        <v>3734430.45</v>
      </c>
      <c r="H106" s="325">
        <f t="shared" si="10"/>
        <v>0.17951117055295698</v>
      </c>
      <c r="I106" s="33">
        <v>2350976.75</v>
      </c>
      <c r="J106" s="199">
        <f t="shared" si="11"/>
        <v>0.11300962596191515</v>
      </c>
      <c r="K106" s="468">
        <v>2469598.4900000002</v>
      </c>
      <c r="L106" s="55">
        <v>0.12147980279380974</v>
      </c>
      <c r="M106" s="160">
        <f t="shared" si="13"/>
        <v>-4.8032803907326782E-2</v>
      </c>
    </row>
    <row r="107" spans="1:14" ht="14.1" customHeight="1" x14ac:dyDescent="0.2">
      <c r="A107" s="40" t="s">
        <v>74</v>
      </c>
      <c r="B107" s="41" t="s">
        <v>522</v>
      </c>
      <c r="C107" s="230">
        <v>180754699.88999999</v>
      </c>
      <c r="D107" s="33">
        <v>181630735.88999999</v>
      </c>
      <c r="E107" s="33">
        <v>150019749.36000001</v>
      </c>
      <c r="F107" s="325">
        <f t="shared" si="9"/>
        <v>0.82596014724542899</v>
      </c>
      <c r="G107" s="33">
        <v>148164609.91999999</v>
      </c>
      <c r="H107" s="325">
        <f t="shared" si="10"/>
        <v>0.81574635038494858</v>
      </c>
      <c r="I107" s="33">
        <v>22966062.440000001</v>
      </c>
      <c r="J107" s="199">
        <f t="shared" si="11"/>
        <v>0.12644370088281098</v>
      </c>
      <c r="K107" s="468">
        <f>14448760+14917004</f>
        <v>29365764</v>
      </c>
      <c r="L107" s="55">
        <f>K107/(105436769+60304050)</f>
        <v>0.17717882762483514</v>
      </c>
      <c r="M107" s="160">
        <f t="shared" si="13"/>
        <v>-0.21793070188808972</v>
      </c>
      <c r="N107" s="593" t="s">
        <v>564</v>
      </c>
    </row>
    <row r="108" spans="1:14" ht="14.1" customHeight="1" x14ac:dyDescent="0.2">
      <c r="A108" s="40" t="s">
        <v>75</v>
      </c>
      <c r="B108" s="41" t="s">
        <v>105</v>
      </c>
      <c r="C108" s="230">
        <v>29950298.399999999</v>
      </c>
      <c r="D108" s="33">
        <v>30473108.59</v>
      </c>
      <c r="E108" s="33">
        <v>17240978</v>
      </c>
      <c r="F108" s="325">
        <f t="shared" si="9"/>
        <v>0.56577680445958078</v>
      </c>
      <c r="G108" s="33">
        <v>12005631.689999999</v>
      </c>
      <c r="H108" s="325">
        <f t="shared" si="10"/>
        <v>0.39397463027253299</v>
      </c>
      <c r="I108" s="33">
        <v>1562292.78</v>
      </c>
      <c r="J108" s="199">
        <f t="shared" si="11"/>
        <v>5.1267916280542482E-2</v>
      </c>
      <c r="K108" s="468">
        <v>994333.65</v>
      </c>
      <c r="L108" s="55">
        <v>3.4906891121916521E-2</v>
      </c>
      <c r="M108" s="160">
        <f t="shared" si="13"/>
        <v>0.57119572489576309</v>
      </c>
    </row>
    <row r="109" spans="1:14" ht="14.1" customHeight="1" x14ac:dyDescent="0.2">
      <c r="A109" s="42">
        <v>234</v>
      </c>
      <c r="B109" s="43" t="s">
        <v>451</v>
      </c>
      <c r="C109" s="230">
        <v>8908528.6099999994</v>
      </c>
      <c r="D109" s="33">
        <v>9481008.6099999994</v>
      </c>
      <c r="E109" s="33">
        <v>8723071.7100000009</v>
      </c>
      <c r="F109" s="464">
        <f t="shared" si="9"/>
        <v>0.92005735558550472</v>
      </c>
      <c r="G109" s="33">
        <v>8664003.2100000009</v>
      </c>
      <c r="H109" s="464">
        <f t="shared" si="10"/>
        <v>0.91382716400676289</v>
      </c>
      <c r="I109" s="33">
        <v>1500072.5</v>
      </c>
      <c r="J109" s="466">
        <f t="shared" si="11"/>
        <v>0.15821866234968013</v>
      </c>
      <c r="K109" s="472">
        <v>1100000</v>
      </c>
      <c r="L109" s="405">
        <v>0.13385398884430436</v>
      </c>
      <c r="M109" s="161">
        <f t="shared" si="13"/>
        <v>0.36370227272727274</v>
      </c>
    </row>
    <row r="110" spans="1:14" ht="14.1" customHeight="1" x14ac:dyDescent="0.2">
      <c r="A110" s="40">
        <v>239</v>
      </c>
      <c r="B110" s="41" t="s">
        <v>498</v>
      </c>
      <c r="C110" s="230">
        <v>2850236.89</v>
      </c>
      <c r="D110" s="33">
        <v>864992.89</v>
      </c>
      <c r="E110" s="33">
        <v>0</v>
      </c>
      <c r="F110" s="325">
        <f t="shared" si="9"/>
        <v>0</v>
      </c>
      <c r="G110" s="33">
        <v>0</v>
      </c>
      <c r="H110" s="325">
        <f t="shared" si="10"/>
        <v>0</v>
      </c>
      <c r="I110" s="33">
        <v>0</v>
      </c>
      <c r="J110" s="199">
        <f t="shared" si="11"/>
        <v>0</v>
      </c>
      <c r="K110" s="473">
        <v>0</v>
      </c>
      <c r="L110" s="55">
        <v>0</v>
      </c>
      <c r="M110" s="161" t="s">
        <v>135</v>
      </c>
    </row>
    <row r="111" spans="1:14" ht="14.1" customHeight="1" x14ac:dyDescent="0.2">
      <c r="A111" s="18">
        <v>2</v>
      </c>
      <c r="B111" s="2" t="s">
        <v>129</v>
      </c>
      <c r="C111" s="232">
        <f>SUBTOTAL(9,C105:C110)</f>
        <v>243853210.41999996</v>
      </c>
      <c r="D111" s="239">
        <f>SUBTOTAL(9,D105:D110)</f>
        <v>243907672.21999997</v>
      </c>
      <c r="E111" s="234">
        <f>SUBTOTAL(9,E105:E110)</f>
        <v>181070263.89000002</v>
      </c>
      <c r="F111" s="267">
        <f>E111/D111</f>
        <v>0.74237215353635189</v>
      </c>
      <c r="G111" s="234">
        <f>SUBTOTAL(9,G105:G110)</f>
        <v>172661650.79999998</v>
      </c>
      <c r="H111" s="267">
        <f>G111/D111</f>
        <v>0.70789757955732746</v>
      </c>
      <c r="I111" s="234">
        <f>SUBTOTAL(9,I105:I110)</f>
        <v>28472380.000000004</v>
      </c>
      <c r="J111" s="322">
        <f>I111/D111</f>
        <v>0.11673425333795352</v>
      </c>
      <c r="K111" s="92">
        <f>SUBTOTAL(9,K105:K110)</f>
        <v>34037787.659999996</v>
      </c>
      <c r="L111" s="44">
        <v>0.15</v>
      </c>
      <c r="M111" s="162">
        <f>+I111/K111-1</f>
        <v>-0.16350673891006917</v>
      </c>
    </row>
    <row r="112" spans="1:14" ht="14.1" customHeight="1" x14ac:dyDescent="0.2">
      <c r="A112" s="38" t="s">
        <v>540</v>
      </c>
      <c r="B112" s="39" t="s">
        <v>515</v>
      </c>
      <c r="C112" s="230">
        <v>16774924.1</v>
      </c>
      <c r="D112" s="33">
        <v>16774924.1</v>
      </c>
      <c r="E112" s="33">
        <v>15733626.77</v>
      </c>
      <c r="F112" s="49">
        <f>+E112/D112</f>
        <v>0.93792536265484505</v>
      </c>
      <c r="G112" s="33">
        <v>15484753.41</v>
      </c>
      <c r="H112" s="49">
        <f>+G112/D112</f>
        <v>0.92308932771862739</v>
      </c>
      <c r="I112" s="33">
        <v>3936576.79</v>
      </c>
      <c r="J112" s="172">
        <f>+I112/D112</f>
        <v>0.23467031901503507</v>
      </c>
      <c r="K112" s="468">
        <v>3880292.58</v>
      </c>
      <c r="L112" s="53">
        <v>0.2336247267356735</v>
      </c>
      <c r="M112" s="159">
        <f>+I112/K112-1</f>
        <v>1.4505145898044525E-2</v>
      </c>
      <c r="N112" s="593" t="s">
        <v>565</v>
      </c>
    </row>
    <row r="113" spans="1:14" ht="14.1" customHeight="1" x14ac:dyDescent="0.2">
      <c r="A113" s="38" t="s">
        <v>76</v>
      </c>
      <c r="B113" s="39" t="s">
        <v>138</v>
      </c>
      <c r="C113" s="230">
        <v>2248848</v>
      </c>
      <c r="D113" s="33">
        <v>2248848</v>
      </c>
      <c r="E113" s="33">
        <v>2248848</v>
      </c>
      <c r="F113" s="49">
        <f>+E113/D113</f>
        <v>1</v>
      </c>
      <c r="G113" s="33">
        <v>2248848</v>
      </c>
      <c r="H113" s="49">
        <f>+G113/D113</f>
        <v>1</v>
      </c>
      <c r="I113" s="33">
        <v>750000</v>
      </c>
      <c r="J113" s="172">
        <f>+I113/D113</f>
        <v>0.3335040874260955</v>
      </c>
      <c r="K113" s="104">
        <v>743000</v>
      </c>
      <c r="L113" s="53">
        <v>0.33303451367099957</v>
      </c>
      <c r="M113" s="159">
        <f>+I113/K113-1</f>
        <v>9.421265141319024E-3</v>
      </c>
    </row>
    <row r="114" spans="1:14" ht="14.1" customHeight="1" x14ac:dyDescent="0.2">
      <c r="A114" s="40" t="s">
        <v>77</v>
      </c>
      <c r="B114" s="41" t="s">
        <v>503</v>
      </c>
      <c r="C114" s="230">
        <v>8261679.1600000001</v>
      </c>
      <c r="D114" s="33">
        <v>8261679.1600000001</v>
      </c>
      <c r="E114" s="33">
        <v>8261679.1600000001</v>
      </c>
      <c r="F114" s="325">
        <f t="shared" ref="F114:F152" si="14">+E114/D114</f>
        <v>1</v>
      </c>
      <c r="G114" s="33">
        <v>8261679.1600000001</v>
      </c>
      <c r="H114" s="325">
        <f t="shared" ref="H114:H152" si="15">+G114/D114</f>
        <v>1</v>
      </c>
      <c r="I114" s="33">
        <v>0</v>
      </c>
      <c r="J114" s="199">
        <f t="shared" ref="J114:J152" si="16">+I114/D114</f>
        <v>0</v>
      </c>
      <c r="K114" s="468">
        <v>14580000</v>
      </c>
      <c r="L114" s="55">
        <v>0.29472724969613362</v>
      </c>
      <c r="M114" s="160">
        <f>+I114/K114-1</f>
        <v>-1</v>
      </c>
    </row>
    <row r="115" spans="1:14" ht="14.1" customHeight="1" x14ac:dyDescent="0.2">
      <c r="A115" s="40">
        <v>323</v>
      </c>
      <c r="B115" s="41" t="s">
        <v>523</v>
      </c>
      <c r="C115" s="230">
        <v>39307154.049999997</v>
      </c>
      <c r="D115" s="33">
        <v>39307154.049999997</v>
      </c>
      <c r="E115" s="33">
        <v>39307154.049999997</v>
      </c>
      <c r="F115" s="325">
        <f t="shared" si="14"/>
        <v>1</v>
      </c>
      <c r="G115" s="33">
        <v>39307154.049999997</v>
      </c>
      <c r="H115" s="325">
        <f t="shared" si="15"/>
        <v>1</v>
      </c>
      <c r="I115" s="33">
        <v>14880000</v>
      </c>
      <c r="J115" s="199">
        <f t="shared" si="16"/>
        <v>0.37855704284955732</v>
      </c>
      <c r="K115" s="468">
        <f>0+0</f>
        <v>0</v>
      </c>
      <c r="L115" s="55">
        <f>K115/(2047300+7241452)</f>
        <v>0</v>
      </c>
      <c r="M115" s="160" t="s">
        <v>135</v>
      </c>
      <c r="N115" s="593" t="s">
        <v>566</v>
      </c>
    </row>
    <row r="116" spans="1:14" ht="14.1" customHeight="1" x14ac:dyDescent="0.2">
      <c r="A116" s="40">
        <v>324</v>
      </c>
      <c r="B116" s="41" t="s">
        <v>517</v>
      </c>
      <c r="C116" s="230">
        <v>7463831</v>
      </c>
      <c r="D116" s="33">
        <v>7479148.5</v>
      </c>
      <c r="E116" s="33">
        <v>7479148.5</v>
      </c>
      <c r="F116" s="325">
        <f t="shared" si="14"/>
        <v>1</v>
      </c>
      <c r="G116" s="33">
        <v>7479148.5</v>
      </c>
      <c r="H116" s="325">
        <f t="shared" si="15"/>
        <v>1</v>
      </c>
      <c r="I116" s="33">
        <v>15317.5</v>
      </c>
      <c r="J116" s="199">
        <f t="shared" si="16"/>
        <v>2.048027258718021E-3</v>
      </c>
      <c r="K116" s="151">
        <v>0</v>
      </c>
      <c r="L116" s="55">
        <v>0</v>
      </c>
      <c r="M116" s="160" t="s">
        <v>135</v>
      </c>
      <c r="N116" s="593" t="s">
        <v>558</v>
      </c>
    </row>
    <row r="117" spans="1:14" ht="14.1" customHeight="1" x14ac:dyDescent="0.2">
      <c r="A117" s="40" t="s">
        <v>516</v>
      </c>
      <c r="B117" s="41" t="s">
        <v>118</v>
      </c>
      <c r="C117" s="230">
        <v>14209859.460000001</v>
      </c>
      <c r="D117" s="33">
        <v>14179717.960000001</v>
      </c>
      <c r="E117" s="33">
        <v>10218587.18</v>
      </c>
      <c r="F117" s="325">
        <f t="shared" si="14"/>
        <v>0.72064812634679509</v>
      </c>
      <c r="G117" s="33">
        <v>10116563.98</v>
      </c>
      <c r="H117" s="325">
        <f t="shared" si="15"/>
        <v>0.71345311722970262</v>
      </c>
      <c r="I117" s="33">
        <v>20695.84</v>
      </c>
      <c r="J117" s="199">
        <f t="shared" si="16"/>
        <v>1.459538198036204E-3</v>
      </c>
      <c r="K117" s="151">
        <v>1307</v>
      </c>
      <c r="L117" s="55" t="s">
        <v>135</v>
      </c>
      <c r="M117" s="160" t="s">
        <v>135</v>
      </c>
      <c r="N117" s="593" t="s">
        <v>567</v>
      </c>
    </row>
    <row r="118" spans="1:14" ht="14.1" customHeight="1" x14ac:dyDescent="0.2">
      <c r="A118" s="40">
        <v>328</v>
      </c>
      <c r="B118" s="41" t="s">
        <v>452</v>
      </c>
      <c r="C118" s="230">
        <v>9039781.6799999997</v>
      </c>
      <c r="D118" s="33">
        <v>9039781.6799999997</v>
      </c>
      <c r="E118" s="33">
        <v>7879921.6799999997</v>
      </c>
      <c r="F118" s="325">
        <f t="shared" si="14"/>
        <v>0.8716938040034613</v>
      </c>
      <c r="G118" s="33">
        <v>7879921.6799999997</v>
      </c>
      <c r="H118" s="325">
        <f t="shared" si="15"/>
        <v>0.8716938040034613</v>
      </c>
      <c r="I118" s="33">
        <v>0</v>
      </c>
      <c r="J118" s="199">
        <f t="shared" si="16"/>
        <v>0</v>
      </c>
      <c r="K118" s="151">
        <v>0</v>
      </c>
      <c r="L118" s="55">
        <v>0</v>
      </c>
      <c r="M118" s="160" t="s">
        <v>135</v>
      </c>
      <c r="N118" s="593" t="s">
        <v>568</v>
      </c>
    </row>
    <row r="119" spans="1:14" ht="14.1" customHeight="1" x14ac:dyDescent="0.2">
      <c r="A119" s="40" t="s">
        <v>542</v>
      </c>
      <c r="B119" s="41" t="s">
        <v>541</v>
      </c>
      <c r="C119" s="230">
        <v>28919222.559999999</v>
      </c>
      <c r="D119" s="33">
        <v>28919222.559999999</v>
      </c>
      <c r="E119" s="33">
        <v>22679082.559999999</v>
      </c>
      <c r="F119" s="325">
        <f t="shared" si="14"/>
        <v>0.78422172355936248</v>
      </c>
      <c r="G119" s="33">
        <v>22679082.559999999</v>
      </c>
      <c r="H119" s="325">
        <f t="shared" si="15"/>
        <v>0.78422172355936248</v>
      </c>
      <c r="I119" s="33">
        <v>11050000</v>
      </c>
      <c r="J119" s="199">
        <f t="shared" si="16"/>
        <v>0.38209879180099232</v>
      </c>
      <c r="K119" s="151">
        <v>14000000</v>
      </c>
      <c r="L119" s="55">
        <v>0.47799999999999998</v>
      </c>
      <c r="M119" s="160">
        <f>+I119/K119-1</f>
        <v>-0.21071428571428574</v>
      </c>
      <c r="N119" s="593" t="s">
        <v>569</v>
      </c>
    </row>
    <row r="120" spans="1:14" ht="14.1" customHeight="1" x14ac:dyDescent="0.2">
      <c r="A120" s="40" t="s">
        <v>453</v>
      </c>
      <c r="B120" s="41" t="s">
        <v>504</v>
      </c>
      <c r="C120" s="230">
        <v>10147004.630000001</v>
      </c>
      <c r="D120" s="33">
        <v>10116330.539999999</v>
      </c>
      <c r="E120" s="33">
        <v>9847018.4499999993</v>
      </c>
      <c r="F120" s="325">
        <f t="shared" si="14"/>
        <v>0.97337848057305576</v>
      </c>
      <c r="G120" s="33">
        <v>9847018.4499999993</v>
      </c>
      <c r="H120" s="325">
        <f t="shared" si="15"/>
        <v>0.97337848057305576</v>
      </c>
      <c r="I120" s="33">
        <v>63212.480000000003</v>
      </c>
      <c r="J120" s="199">
        <f t="shared" si="16"/>
        <v>6.2485581852093188E-3</v>
      </c>
      <c r="K120" s="468">
        <v>52805.440000000002</v>
      </c>
      <c r="L120" s="55">
        <v>4.9943256118963088E-3</v>
      </c>
      <c r="M120" s="160">
        <f>+I120/K120-1</f>
        <v>0.19708272481017097</v>
      </c>
    </row>
    <row r="121" spans="1:14" ht="14.1" customHeight="1" x14ac:dyDescent="0.2">
      <c r="A121" s="40" t="s">
        <v>79</v>
      </c>
      <c r="B121" s="41" t="s">
        <v>114</v>
      </c>
      <c r="C121" s="230">
        <v>12497819.630000001</v>
      </c>
      <c r="D121" s="33">
        <v>12484381.789999999</v>
      </c>
      <c r="E121" s="33">
        <v>12461801.26</v>
      </c>
      <c r="F121" s="325">
        <f t="shared" si="14"/>
        <v>0.9981912977046179</v>
      </c>
      <c r="G121" s="33">
        <v>12382919.33</v>
      </c>
      <c r="H121" s="325">
        <f t="shared" si="15"/>
        <v>0.99187284867551306</v>
      </c>
      <c r="I121" s="33">
        <v>2487.85</v>
      </c>
      <c r="J121" s="199">
        <f t="shared" si="16"/>
        <v>1.9927698798772478E-4</v>
      </c>
      <c r="K121" s="468">
        <v>9407440.8599999994</v>
      </c>
      <c r="L121" s="55">
        <v>0.76303034668427727</v>
      </c>
      <c r="M121" s="160">
        <f>+I121/K121-1</f>
        <v>-0.99973554444433677</v>
      </c>
    </row>
    <row r="122" spans="1:14" ht="14.1" customHeight="1" x14ac:dyDescent="0.2">
      <c r="A122" s="40" t="s">
        <v>80</v>
      </c>
      <c r="B122" s="41" t="s">
        <v>524</v>
      </c>
      <c r="C122" s="230">
        <v>64496879.130000003</v>
      </c>
      <c r="D122" s="33">
        <v>64496879.130000003</v>
      </c>
      <c r="E122" s="33">
        <v>64496879.130000003</v>
      </c>
      <c r="F122" s="325">
        <f t="shared" si="14"/>
        <v>1</v>
      </c>
      <c r="G122" s="33">
        <v>64496879.130000003</v>
      </c>
      <c r="H122" s="325">
        <f t="shared" si="15"/>
        <v>1</v>
      </c>
      <c r="I122" s="33">
        <v>28000000</v>
      </c>
      <c r="J122" s="199">
        <f t="shared" si="16"/>
        <v>0.43412953274162552</v>
      </c>
      <c r="K122" s="473">
        <f>0+0</f>
        <v>0</v>
      </c>
      <c r="L122" s="55">
        <f>K122/(46177328+17219551)</f>
        <v>0</v>
      </c>
      <c r="M122" s="160" t="s">
        <v>135</v>
      </c>
      <c r="N122" s="593" t="s">
        <v>570</v>
      </c>
    </row>
    <row r="123" spans="1:14" ht="14.1" customHeight="1" x14ac:dyDescent="0.2">
      <c r="A123" s="40" t="s">
        <v>81</v>
      </c>
      <c r="B123" s="41" t="s">
        <v>106</v>
      </c>
      <c r="C123" s="230">
        <v>16590471.789999999</v>
      </c>
      <c r="D123" s="33">
        <v>16635254.76</v>
      </c>
      <c r="E123" s="33">
        <v>15081071.6</v>
      </c>
      <c r="F123" s="325">
        <f t="shared" si="14"/>
        <v>0.90657292705026182</v>
      </c>
      <c r="G123" s="33">
        <v>14938580.380000001</v>
      </c>
      <c r="H123" s="325">
        <f t="shared" si="15"/>
        <v>0.89800731010866708</v>
      </c>
      <c r="I123" s="33">
        <v>195957.95</v>
      </c>
      <c r="J123" s="199">
        <f t="shared" si="16"/>
        <v>1.1779678329374741E-2</v>
      </c>
      <c r="K123" s="473">
        <v>14618993</v>
      </c>
      <c r="L123" s="55">
        <v>0.52900000000000003</v>
      </c>
      <c r="M123" s="160">
        <f>+I123/K123-1</f>
        <v>-0.98659566017987699</v>
      </c>
    </row>
    <row r="124" spans="1:14" ht="14.1" customHeight="1" x14ac:dyDescent="0.2">
      <c r="A124" s="40">
        <v>336</v>
      </c>
      <c r="B124" s="41" t="s">
        <v>454</v>
      </c>
      <c r="C124" s="230">
        <v>211322.62</v>
      </c>
      <c r="D124" s="33">
        <v>211322.62</v>
      </c>
      <c r="E124" s="33">
        <v>211322.62</v>
      </c>
      <c r="F124" s="325">
        <f t="shared" si="14"/>
        <v>1</v>
      </c>
      <c r="G124" s="33">
        <v>211322.62</v>
      </c>
      <c r="H124" s="325">
        <f t="shared" si="15"/>
        <v>1</v>
      </c>
      <c r="I124" s="33">
        <v>0</v>
      </c>
      <c r="J124" s="199">
        <f t="shared" si="16"/>
        <v>0</v>
      </c>
      <c r="K124" s="151">
        <v>0</v>
      </c>
      <c r="L124" s="55">
        <v>0</v>
      </c>
      <c r="M124" s="160" t="s">
        <v>135</v>
      </c>
    </row>
    <row r="125" spans="1:14" ht="14.1" customHeight="1" x14ac:dyDescent="0.2">
      <c r="A125" s="40" t="s">
        <v>543</v>
      </c>
      <c r="B125" s="41" t="s">
        <v>526</v>
      </c>
      <c r="C125" s="230">
        <v>13215052.93</v>
      </c>
      <c r="D125" s="33">
        <v>13104587.08</v>
      </c>
      <c r="E125" s="33">
        <v>9800061.7599999998</v>
      </c>
      <c r="F125" s="325">
        <f t="shared" si="14"/>
        <v>0.74783445675725935</v>
      </c>
      <c r="G125" s="33">
        <v>9409667.5099999998</v>
      </c>
      <c r="H125" s="325">
        <f t="shared" si="15"/>
        <v>0.7180438004308336</v>
      </c>
      <c r="I125" s="33">
        <v>2088320.61</v>
      </c>
      <c r="J125" s="199">
        <f t="shared" si="16"/>
        <v>0.1593579864250099</v>
      </c>
      <c r="K125" s="151">
        <v>0</v>
      </c>
      <c r="L125" s="55">
        <v>0</v>
      </c>
      <c r="M125" s="160" t="s">
        <v>135</v>
      </c>
      <c r="N125" s="593" t="s">
        <v>558</v>
      </c>
    </row>
    <row r="126" spans="1:14" ht="14.1" customHeight="1" x14ac:dyDescent="0.2">
      <c r="A126" s="40">
        <v>338</v>
      </c>
      <c r="B126" s="41" t="s">
        <v>447</v>
      </c>
      <c r="C126" s="230">
        <v>6508517.5999999996</v>
      </c>
      <c r="D126" s="33">
        <v>6583119.04</v>
      </c>
      <c r="E126" s="33">
        <v>4749716.8600000003</v>
      </c>
      <c r="F126" s="325">
        <f t="shared" si="14"/>
        <v>0.72149946418103972</v>
      </c>
      <c r="G126" s="33">
        <v>4499744.95</v>
      </c>
      <c r="H126" s="325">
        <f t="shared" si="15"/>
        <v>0.68352781146123709</v>
      </c>
      <c r="I126" s="33">
        <v>198769.04</v>
      </c>
      <c r="J126" s="199">
        <f t="shared" si="16"/>
        <v>3.0193748402884722E-2</v>
      </c>
      <c r="K126" s="468">
        <v>95862.8</v>
      </c>
      <c r="L126" s="55">
        <v>1.5063937459702473E-2</v>
      </c>
      <c r="M126" s="160">
        <f>+I126/K126-1</f>
        <v>1.0734741735063027</v>
      </c>
    </row>
    <row r="127" spans="1:14" ht="14.1" customHeight="1" x14ac:dyDescent="0.2">
      <c r="A127" s="40" t="s">
        <v>82</v>
      </c>
      <c r="B127" s="41" t="s">
        <v>119</v>
      </c>
      <c r="C127" s="230">
        <v>11347381.6</v>
      </c>
      <c r="D127" s="33">
        <v>11354144.630000001</v>
      </c>
      <c r="E127" s="33">
        <v>11049078.119999999</v>
      </c>
      <c r="F127" s="464">
        <f t="shared" si="14"/>
        <v>0.97313170477026045</v>
      </c>
      <c r="G127" s="33">
        <v>10856845.25</v>
      </c>
      <c r="H127" s="464">
        <f t="shared" si="15"/>
        <v>0.95620107051604464</v>
      </c>
      <c r="I127" s="33">
        <v>2102079.1</v>
      </c>
      <c r="J127" s="466">
        <f t="shared" si="16"/>
        <v>0.18513760115807157</v>
      </c>
      <c r="K127" s="469">
        <v>3015595.44</v>
      </c>
      <c r="L127" s="404">
        <v>0.28681658908343555</v>
      </c>
      <c r="M127" s="160">
        <f>+I127/K127-1</f>
        <v>-0.30293066764950405</v>
      </c>
    </row>
    <row r="128" spans="1:14" ht="14.1" customHeight="1" x14ac:dyDescent="0.2">
      <c r="A128" s="40">
        <v>342</v>
      </c>
      <c r="B128" s="41" t="s">
        <v>528</v>
      </c>
      <c r="C128" s="230">
        <v>4676210.57</v>
      </c>
      <c r="D128" s="33">
        <v>4676210.57</v>
      </c>
      <c r="E128" s="33">
        <v>4667210.57</v>
      </c>
      <c r="F128" s="464">
        <f t="shared" si="14"/>
        <v>0.99807536468572666</v>
      </c>
      <c r="G128" s="33">
        <v>4667210.57</v>
      </c>
      <c r="H128" s="464">
        <f t="shared" si="15"/>
        <v>0.99807536468572666</v>
      </c>
      <c r="I128" s="33">
        <v>2257.62</v>
      </c>
      <c r="J128" s="466">
        <f t="shared" si="16"/>
        <v>4.8278835313440551E-4</v>
      </c>
      <c r="K128" s="280">
        <v>2271.5500000000002</v>
      </c>
      <c r="L128" s="80">
        <v>5.0384239296246487E-4</v>
      </c>
      <c r="M128" s="160">
        <f>+I128/K128-1</f>
        <v>-6.1323765710639133E-3</v>
      </c>
    </row>
    <row r="129" spans="1:16" ht="14.1" customHeight="1" x14ac:dyDescent="0.2">
      <c r="A129" s="40">
        <v>343</v>
      </c>
      <c r="B129" s="41" t="s">
        <v>455</v>
      </c>
      <c r="C129" s="230">
        <v>7608676.7199999997</v>
      </c>
      <c r="D129" s="33">
        <v>7608676.7199999997</v>
      </c>
      <c r="E129" s="33">
        <v>7608676.7199999997</v>
      </c>
      <c r="F129" s="464">
        <f t="shared" si="14"/>
        <v>1</v>
      </c>
      <c r="G129" s="33">
        <v>7608676.7199999997</v>
      </c>
      <c r="H129" s="464">
        <f t="shared" si="15"/>
        <v>1</v>
      </c>
      <c r="I129" s="33">
        <v>0</v>
      </c>
      <c r="J129" s="466">
        <f t="shared" si="16"/>
        <v>0</v>
      </c>
      <c r="K129" s="474">
        <v>0</v>
      </c>
      <c r="L129" s="61">
        <v>0</v>
      </c>
      <c r="M129" s="160" t="s">
        <v>135</v>
      </c>
    </row>
    <row r="130" spans="1:16" ht="14.1" customHeight="1" x14ac:dyDescent="0.2">
      <c r="A130" s="18">
        <v>3</v>
      </c>
      <c r="B130" s="2" t="s">
        <v>128</v>
      </c>
      <c r="C130" s="232">
        <f>SUBTOTAL(9,C112:C129)</f>
        <v>273524637.23000002</v>
      </c>
      <c r="D130" s="239">
        <f>SUBTOTAL(9,D112:D129)</f>
        <v>273481382.88999999</v>
      </c>
      <c r="E130" s="234">
        <f>SUBTOTAL(9,E112:E129)</f>
        <v>253780884.99000001</v>
      </c>
      <c r="F130" s="98">
        <f t="shared" si="14"/>
        <v>0.927964025588082</v>
      </c>
      <c r="G130" s="234">
        <f>SUBTOTAL(9,G112:G129)</f>
        <v>252376016.24999997</v>
      </c>
      <c r="H130" s="98">
        <f t="shared" si="15"/>
        <v>0.92282704432393103</v>
      </c>
      <c r="I130" s="234">
        <f>SUBTOTAL(9,I112:I129)</f>
        <v>63305674.780000001</v>
      </c>
      <c r="J130" s="190">
        <f t="shared" si="16"/>
        <v>0.23148074691966469</v>
      </c>
      <c r="K130" s="92">
        <f>SUBTOTAL(9,K112:K129)</f>
        <v>60397568.669999987</v>
      </c>
      <c r="L130" s="44">
        <v>0.22600000000000001</v>
      </c>
      <c r="M130" s="162">
        <f t="shared" ref="M130:M135" si="17">+I130/K130-1</f>
        <v>4.8149390348630083E-2</v>
      </c>
    </row>
    <row r="131" spans="1:16" ht="14.1" customHeight="1" x14ac:dyDescent="0.2">
      <c r="A131" s="38">
        <v>430</v>
      </c>
      <c r="B131" s="39" t="s">
        <v>529</v>
      </c>
      <c r="C131" s="230">
        <v>3157718.66</v>
      </c>
      <c r="D131" s="33">
        <v>3422094.52</v>
      </c>
      <c r="E131" s="33">
        <v>776003.05</v>
      </c>
      <c r="F131" s="464">
        <f t="shared" si="14"/>
        <v>0.22676259976594687</v>
      </c>
      <c r="G131" s="33">
        <v>675003.05</v>
      </c>
      <c r="H131" s="464">
        <f t="shared" si="15"/>
        <v>0.19724851141750463</v>
      </c>
      <c r="I131" s="33">
        <v>614340.36</v>
      </c>
      <c r="J131" s="199">
        <f t="shared" si="16"/>
        <v>0.17952173921835449</v>
      </c>
      <c r="K131" s="467">
        <v>193824.16</v>
      </c>
      <c r="L131" s="53">
        <v>7.0401951098325866E-2</v>
      </c>
      <c r="M131" s="159">
        <f t="shared" si="17"/>
        <v>2.1695757639295326</v>
      </c>
    </row>
    <row r="132" spans="1:16" ht="14.1" customHeight="1" x14ac:dyDescent="0.2">
      <c r="A132" s="38" t="s">
        <v>83</v>
      </c>
      <c r="B132" s="39" t="s">
        <v>107</v>
      </c>
      <c r="C132" s="230">
        <v>8913661.5299999993</v>
      </c>
      <c r="D132" s="33">
        <v>8905248.3900000006</v>
      </c>
      <c r="E132" s="33">
        <v>3046998.24</v>
      </c>
      <c r="F132" s="49">
        <f t="shared" si="14"/>
        <v>0.34215758017727793</v>
      </c>
      <c r="G132" s="33">
        <v>1154436.45</v>
      </c>
      <c r="H132" s="49">
        <f t="shared" si="15"/>
        <v>0.12963551373775886</v>
      </c>
      <c r="I132" s="33">
        <v>1088480.79</v>
      </c>
      <c r="J132" s="172">
        <f t="shared" si="16"/>
        <v>0.12222913301579452</v>
      </c>
      <c r="K132" s="467">
        <v>1065025.6499999999</v>
      </c>
      <c r="L132" s="53">
        <v>0.12175671042775253</v>
      </c>
      <c r="M132" s="159">
        <f t="shared" si="17"/>
        <v>2.2023075218892796E-2</v>
      </c>
    </row>
    <row r="133" spans="1:16" ht="14.1" customHeight="1" x14ac:dyDescent="0.2">
      <c r="A133" s="40" t="s">
        <v>84</v>
      </c>
      <c r="B133" s="41" t="s">
        <v>530</v>
      </c>
      <c r="C133" s="230">
        <v>4243112</v>
      </c>
      <c r="D133" s="33">
        <v>6053987.1799999997</v>
      </c>
      <c r="E133" s="33">
        <v>2969867.1</v>
      </c>
      <c r="F133" s="325">
        <f t="shared" si="14"/>
        <v>0.49056382375755214</v>
      </c>
      <c r="G133" s="33">
        <v>2960367.1</v>
      </c>
      <c r="H133" s="325">
        <f t="shared" si="15"/>
        <v>0.48899460999519334</v>
      </c>
      <c r="I133" s="33">
        <v>2095875.18</v>
      </c>
      <c r="J133" s="199">
        <f t="shared" si="16"/>
        <v>0.34619749227813862</v>
      </c>
      <c r="K133" s="468">
        <v>1326267.4099999999</v>
      </c>
      <c r="L133" s="55">
        <v>0.17746335865624496</v>
      </c>
      <c r="M133" s="160">
        <f t="shared" si="17"/>
        <v>0.58028099325761162</v>
      </c>
    </row>
    <row r="134" spans="1:16" ht="14.1" customHeight="1" x14ac:dyDescent="0.2">
      <c r="A134" s="40" t="s">
        <v>85</v>
      </c>
      <c r="B134" s="41" t="s">
        <v>108</v>
      </c>
      <c r="C134" s="230">
        <v>64291367.520000003</v>
      </c>
      <c r="D134" s="33">
        <v>63332599.520000003</v>
      </c>
      <c r="E134" s="33">
        <v>23154925.050000001</v>
      </c>
      <c r="F134" s="325">
        <f t="shared" si="14"/>
        <v>0.36560831586721515</v>
      </c>
      <c r="G134" s="33">
        <v>23067590.050000001</v>
      </c>
      <c r="H134" s="325">
        <f t="shared" si="15"/>
        <v>0.36422932620530463</v>
      </c>
      <c r="I134" s="33">
        <v>12357871.84</v>
      </c>
      <c r="J134" s="199">
        <f t="shared" si="16"/>
        <v>0.19512655304946813</v>
      </c>
      <c r="K134" s="468">
        <v>8997349.5800000001</v>
      </c>
      <c r="L134" s="55">
        <v>0.23574077113910349</v>
      </c>
      <c r="M134" s="160">
        <f t="shared" si="17"/>
        <v>0.37350135505127269</v>
      </c>
      <c r="O134" s="320"/>
      <c r="P134" s="320"/>
    </row>
    <row r="135" spans="1:16" ht="14.1" customHeight="1" x14ac:dyDescent="0.2">
      <c r="A135" s="40" t="s">
        <v>86</v>
      </c>
      <c r="B135" s="41" t="s">
        <v>531</v>
      </c>
      <c r="C135" s="230">
        <v>133403395</v>
      </c>
      <c r="D135" s="33">
        <v>134153395</v>
      </c>
      <c r="E135" s="33">
        <v>117688502</v>
      </c>
      <c r="F135" s="325">
        <f t="shared" si="14"/>
        <v>0.87726816007899022</v>
      </c>
      <c r="G135" s="33">
        <v>117688502</v>
      </c>
      <c r="H135" s="325">
        <f t="shared" si="15"/>
        <v>0.87726816007899022</v>
      </c>
      <c r="I135" s="33">
        <v>26379865.359999999</v>
      </c>
      <c r="J135" s="199">
        <f t="shared" si="16"/>
        <v>0.19663956592376958</v>
      </c>
      <c r="K135" s="468">
        <v>22302108.969999999</v>
      </c>
      <c r="L135" s="55">
        <v>0.22095506866402553</v>
      </c>
      <c r="M135" s="160">
        <f t="shared" si="17"/>
        <v>0.18284173911468438</v>
      </c>
      <c r="O135" s="320"/>
      <c r="P135" s="320"/>
    </row>
    <row r="136" spans="1:16" ht="14.1" customHeight="1" x14ac:dyDescent="0.2">
      <c r="A136" s="40">
        <v>491</v>
      </c>
      <c r="B136" s="41" t="s">
        <v>544</v>
      </c>
      <c r="C136" s="230">
        <v>17159000</v>
      </c>
      <c r="D136" s="33">
        <v>17159000</v>
      </c>
      <c r="E136" s="33">
        <v>17159000</v>
      </c>
      <c r="F136" s="325">
        <f t="shared" si="14"/>
        <v>1</v>
      </c>
      <c r="G136" s="33">
        <v>17159000</v>
      </c>
      <c r="H136" s="325">
        <f t="shared" si="15"/>
        <v>1</v>
      </c>
      <c r="I136" s="33">
        <v>4900000</v>
      </c>
      <c r="J136" s="199">
        <f t="shared" si="16"/>
        <v>0.28556442683140043</v>
      </c>
      <c r="K136" s="468">
        <v>7800000</v>
      </c>
      <c r="L136" s="55">
        <v>0.47488584474885842</v>
      </c>
      <c r="M136" s="420" t="s">
        <v>135</v>
      </c>
      <c r="O136" s="320"/>
      <c r="P136" s="320"/>
    </row>
    <row r="137" spans="1:16" ht="14.1" customHeight="1" x14ac:dyDescent="0.2">
      <c r="A137" s="40" t="s">
        <v>87</v>
      </c>
      <c r="B137" s="41" t="s">
        <v>532</v>
      </c>
      <c r="C137" s="230">
        <v>1138067.27</v>
      </c>
      <c r="D137" s="33">
        <v>1059997.24</v>
      </c>
      <c r="E137" s="33">
        <v>265633.14</v>
      </c>
      <c r="F137" s="325">
        <f t="shared" si="14"/>
        <v>0.25059795438712651</v>
      </c>
      <c r="G137" s="33">
        <v>145355.91</v>
      </c>
      <c r="H137" s="325">
        <f t="shared" si="15"/>
        <v>0.13712857403289089</v>
      </c>
      <c r="I137" s="33">
        <v>108123.91</v>
      </c>
      <c r="J137" s="199">
        <f t="shared" si="16"/>
        <v>0.10200395427444699</v>
      </c>
      <c r="K137" s="468">
        <v>116241.18</v>
      </c>
      <c r="L137" s="55">
        <v>9.5932315519734329E-2</v>
      </c>
      <c r="M137" s="421">
        <f t="shared" ref="M137:M146" si="18">+I137/K137-1</f>
        <v>-6.9831276661162511E-2</v>
      </c>
    </row>
    <row r="138" spans="1:16" ht="14.1" customHeight="1" x14ac:dyDescent="0.2">
      <c r="A138" s="18">
        <v>4</v>
      </c>
      <c r="B138" s="2" t="s">
        <v>127</v>
      </c>
      <c r="C138" s="232">
        <f>SUBTOTAL(9,C131:C137)</f>
        <v>232306321.98000002</v>
      </c>
      <c r="D138" s="239">
        <f>SUBTOTAL(9,D131:D137)</f>
        <v>234086321.85000002</v>
      </c>
      <c r="E138" s="234">
        <f>SUBTOTAL(9,E131:E137)</f>
        <v>165060928.57999998</v>
      </c>
      <c r="F138" s="98">
        <f t="shared" si="14"/>
        <v>0.70512846404485452</v>
      </c>
      <c r="G138" s="234">
        <f>SUBTOTAL(9,G131:G137)</f>
        <v>162850254.56</v>
      </c>
      <c r="H138" s="98">
        <f t="shared" si="15"/>
        <v>0.69568462297576139</v>
      </c>
      <c r="I138" s="234">
        <f>SUBTOTAL(9,I131:I137)</f>
        <v>47544557.439999998</v>
      </c>
      <c r="J138" s="190">
        <f t="shared" si="16"/>
        <v>0.20310694390108805</v>
      </c>
      <c r="K138" s="92">
        <f>SUBTOTAL(9,K131:K137)</f>
        <v>41800816.949999996</v>
      </c>
      <c r="L138" s="44">
        <v>0.23799999999999999</v>
      </c>
      <c r="M138" s="162">
        <f t="shared" si="18"/>
        <v>0.13740737404415726</v>
      </c>
    </row>
    <row r="139" spans="1:16" ht="14.1" customHeight="1" x14ac:dyDescent="0.2">
      <c r="A139" s="38" t="s">
        <v>88</v>
      </c>
      <c r="B139" s="39" t="s">
        <v>117</v>
      </c>
      <c r="C139" s="230">
        <v>27475672.920000002</v>
      </c>
      <c r="D139" s="33">
        <v>28130701.59</v>
      </c>
      <c r="E139" s="33">
        <v>8717094.8300000001</v>
      </c>
      <c r="F139" s="49">
        <f t="shared" si="14"/>
        <v>0.30987832998444603</v>
      </c>
      <c r="G139" s="33">
        <v>6410271.8300000001</v>
      </c>
      <c r="H139" s="49">
        <f t="shared" si="15"/>
        <v>0.22787458071357686</v>
      </c>
      <c r="I139" s="33">
        <v>3918641.18</v>
      </c>
      <c r="J139" s="172">
        <f t="shared" si="16"/>
        <v>0.13930122458776542</v>
      </c>
      <c r="K139" s="467">
        <v>4489888.32</v>
      </c>
      <c r="L139" s="53">
        <v>0.16128615946567695</v>
      </c>
      <c r="M139" s="159">
        <f t="shared" si="18"/>
        <v>-0.12722969911198145</v>
      </c>
    </row>
    <row r="140" spans="1:16" ht="14.1" customHeight="1" x14ac:dyDescent="0.2">
      <c r="A140" s="40" t="s">
        <v>89</v>
      </c>
      <c r="B140" s="41" t="s">
        <v>505</v>
      </c>
      <c r="C140" s="230">
        <v>55211919.460000001</v>
      </c>
      <c r="D140" s="33">
        <v>58064448.770000003</v>
      </c>
      <c r="E140" s="33">
        <v>16721213.140000001</v>
      </c>
      <c r="F140" s="325">
        <f t="shared" si="14"/>
        <v>0.28797678259608833</v>
      </c>
      <c r="G140" s="33">
        <v>12799462.949999999</v>
      </c>
      <c r="H140" s="325">
        <f t="shared" si="15"/>
        <v>0.22043545097104345</v>
      </c>
      <c r="I140" s="33">
        <v>6530352.4699999997</v>
      </c>
      <c r="J140" s="199">
        <f t="shared" si="16"/>
        <v>0.1124673118979822</v>
      </c>
      <c r="K140" s="468">
        <v>6440825.71</v>
      </c>
      <c r="L140" s="55">
        <v>0.11422376086085169</v>
      </c>
      <c r="M140" s="160">
        <f t="shared" si="18"/>
        <v>1.3899888621578649E-2</v>
      </c>
    </row>
    <row r="141" spans="1:16" ht="14.1" customHeight="1" x14ac:dyDescent="0.2">
      <c r="A141" s="40" t="s">
        <v>90</v>
      </c>
      <c r="B141" s="41" t="s">
        <v>120</v>
      </c>
      <c r="C141" s="230">
        <v>6330784.5</v>
      </c>
      <c r="D141" s="33">
        <v>6534464.4199999999</v>
      </c>
      <c r="E141" s="33">
        <v>1431838.06</v>
      </c>
      <c r="F141" s="325">
        <f t="shared" si="14"/>
        <v>0.21912095130820225</v>
      </c>
      <c r="G141" s="33">
        <v>1274238.06</v>
      </c>
      <c r="H141" s="325">
        <f t="shared" si="15"/>
        <v>0.19500267781701383</v>
      </c>
      <c r="I141" s="33">
        <v>763147.94</v>
      </c>
      <c r="J141" s="199">
        <f t="shared" si="16"/>
        <v>0.11678813915708794</v>
      </c>
      <c r="K141" s="468">
        <v>709729.99</v>
      </c>
      <c r="L141" s="55">
        <v>0.11269941461265365</v>
      </c>
      <c r="M141" s="160">
        <f t="shared" si="18"/>
        <v>7.5265172322787066E-2</v>
      </c>
    </row>
    <row r="142" spans="1:16" ht="14.1" customHeight="1" x14ac:dyDescent="0.2">
      <c r="A142" s="40" t="s">
        <v>91</v>
      </c>
      <c r="B142" s="41" t="s">
        <v>115</v>
      </c>
      <c r="C142" s="230">
        <v>2703306.46</v>
      </c>
      <c r="D142" s="33">
        <v>2740610.56</v>
      </c>
      <c r="E142" s="33">
        <v>540539.88</v>
      </c>
      <c r="F142" s="325">
        <f t="shared" si="14"/>
        <v>0.1972333785359128</v>
      </c>
      <c r="G142" s="33">
        <v>254218.78</v>
      </c>
      <c r="H142" s="325">
        <f t="shared" si="15"/>
        <v>9.2759906755960242E-2</v>
      </c>
      <c r="I142" s="33">
        <v>176756.38</v>
      </c>
      <c r="J142" s="199">
        <f t="shared" si="16"/>
        <v>6.4495256122781633E-2</v>
      </c>
      <c r="K142" s="468">
        <v>158217</v>
      </c>
      <c r="L142" s="55">
        <v>9.9000000000000005E-2</v>
      </c>
      <c r="M142" s="160">
        <f t="shared" si="18"/>
        <v>0.11717691524930962</v>
      </c>
    </row>
    <row r="143" spans="1:16" ht="14.1" customHeight="1" x14ac:dyDescent="0.2">
      <c r="A143" s="40" t="s">
        <v>92</v>
      </c>
      <c r="B143" s="41" t="s">
        <v>109</v>
      </c>
      <c r="C143" s="230">
        <v>9126336.0500000007</v>
      </c>
      <c r="D143" s="33">
        <v>8995905.8699999992</v>
      </c>
      <c r="E143" s="33">
        <v>6613783.5999999996</v>
      </c>
      <c r="F143" s="325">
        <f t="shared" si="14"/>
        <v>0.7351992890516984</v>
      </c>
      <c r="G143" s="33">
        <v>1894788.29</v>
      </c>
      <c r="H143" s="325">
        <f t="shared" si="15"/>
        <v>0.21062784753215744</v>
      </c>
      <c r="I143" s="33">
        <v>650123.28</v>
      </c>
      <c r="J143" s="199">
        <f t="shared" si="16"/>
        <v>7.226879531588519E-2</v>
      </c>
      <c r="K143" s="468">
        <v>173534.18</v>
      </c>
      <c r="L143" s="55">
        <v>2.1619280081236602E-2</v>
      </c>
      <c r="M143" s="160">
        <f t="shared" si="18"/>
        <v>2.7463701963497913</v>
      </c>
    </row>
    <row r="144" spans="1:16" ht="14.1" customHeight="1" x14ac:dyDescent="0.2">
      <c r="A144" s="40" t="s">
        <v>93</v>
      </c>
      <c r="B144" s="41" t="s">
        <v>124</v>
      </c>
      <c r="C144" s="230">
        <v>36104377.189999998</v>
      </c>
      <c r="D144" s="33">
        <v>36419348.369999997</v>
      </c>
      <c r="E144" s="33">
        <v>21152987.379999999</v>
      </c>
      <c r="F144" s="325">
        <f t="shared" si="14"/>
        <v>0.58081729428812401</v>
      </c>
      <c r="G144" s="33">
        <v>15101283.23</v>
      </c>
      <c r="H144" s="325">
        <f t="shared" si="15"/>
        <v>0.41465001176241534</v>
      </c>
      <c r="I144" s="33">
        <v>2393298.5299999998</v>
      </c>
      <c r="J144" s="199">
        <f t="shared" si="16"/>
        <v>6.5715028882050261E-2</v>
      </c>
      <c r="K144" s="468">
        <v>2357237.4300000002</v>
      </c>
      <c r="L144" s="55">
        <v>6.499248403165718E-2</v>
      </c>
      <c r="M144" s="160">
        <f t="shared" si="18"/>
        <v>1.5298034699881669E-2</v>
      </c>
    </row>
    <row r="145" spans="1:16" ht="14.1" customHeight="1" x14ac:dyDescent="0.2">
      <c r="A145" s="40" t="s">
        <v>94</v>
      </c>
      <c r="B145" s="41" t="s">
        <v>533</v>
      </c>
      <c r="C145" s="230">
        <v>31536030.609999999</v>
      </c>
      <c r="D145" s="33">
        <v>38531728.350000001</v>
      </c>
      <c r="E145" s="33">
        <v>30061826.510000002</v>
      </c>
      <c r="F145" s="325">
        <f t="shared" si="14"/>
        <v>0.78018370307544227</v>
      </c>
      <c r="G145" s="33">
        <v>30058826.510000002</v>
      </c>
      <c r="H145" s="325">
        <f t="shared" si="15"/>
        <v>0.78010584516123838</v>
      </c>
      <c r="I145" s="33">
        <v>4000246.24</v>
      </c>
      <c r="J145" s="199">
        <f t="shared" si="16"/>
        <v>0.10381694284938559</v>
      </c>
      <c r="K145" s="468">
        <v>7184979</v>
      </c>
      <c r="L145" s="55">
        <v>0.22800000000000001</v>
      </c>
      <c r="M145" s="160">
        <f t="shared" si="18"/>
        <v>-0.4432487220909066</v>
      </c>
    </row>
    <row r="146" spans="1:16" ht="14.1" customHeight="1" x14ac:dyDescent="0.2">
      <c r="A146" s="40" t="s">
        <v>95</v>
      </c>
      <c r="B146" s="41" t="s">
        <v>122</v>
      </c>
      <c r="C146" s="230">
        <v>26939471.629999999</v>
      </c>
      <c r="D146" s="33">
        <v>12258382.060000001</v>
      </c>
      <c r="E146" s="33">
        <v>28225.05</v>
      </c>
      <c r="F146" s="325">
        <f t="shared" si="14"/>
        <v>2.3025102221361175E-3</v>
      </c>
      <c r="G146" s="33">
        <v>28225.05</v>
      </c>
      <c r="H146" s="325">
        <f t="shared" si="15"/>
        <v>2.3025102221361175E-3</v>
      </c>
      <c r="I146" s="33">
        <v>28225.05</v>
      </c>
      <c r="J146" s="199">
        <f t="shared" si="16"/>
        <v>2.3025102221361175E-3</v>
      </c>
      <c r="K146" s="468">
        <v>17680.88</v>
      </c>
      <c r="L146" s="55">
        <v>8.0098253485526945E-4</v>
      </c>
      <c r="M146" s="160">
        <f t="shared" si="18"/>
        <v>0.59636002280429468</v>
      </c>
    </row>
    <row r="147" spans="1:16" ht="14.1" customHeight="1" x14ac:dyDescent="0.2">
      <c r="A147" s="40">
        <v>931</v>
      </c>
      <c r="B147" s="41" t="s">
        <v>456</v>
      </c>
      <c r="C147" s="230">
        <v>5447022.2999999998</v>
      </c>
      <c r="D147" s="33">
        <v>5693210.6500000004</v>
      </c>
      <c r="E147" s="33">
        <v>1175004.44</v>
      </c>
      <c r="F147" s="325">
        <f t="shared" si="14"/>
        <v>0.20638696022954989</v>
      </c>
      <c r="G147" s="33">
        <v>1059752.51</v>
      </c>
      <c r="H147" s="325">
        <f t="shared" si="15"/>
        <v>0.18614321077334456</v>
      </c>
      <c r="I147" s="33">
        <v>636170.68999999994</v>
      </c>
      <c r="J147" s="199">
        <f t="shared" si="16"/>
        <v>0.11174199043557258</v>
      </c>
      <c r="K147" s="468">
        <v>563792.75</v>
      </c>
      <c r="L147" s="55">
        <v>0.10579053675342887</v>
      </c>
      <c r="M147" s="160">
        <f t="shared" ref="M147:M153" si="19">+I147/K147-1</f>
        <v>0.12837685479282945</v>
      </c>
    </row>
    <row r="148" spans="1:16" ht="14.1" customHeight="1" x14ac:dyDescent="0.2">
      <c r="A148" s="40" t="s">
        <v>96</v>
      </c>
      <c r="B148" s="41" t="s">
        <v>111</v>
      </c>
      <c r="C148" s="230">
        <v>25093946.690000001</v>
      </c>
      <c r="D148" s="33">
        <v>26721406.690000001</v>
      </c>
      <c r="E148" s="33">
        <v>26456502.469999999</v>
      </c>
      <c r="F148" s="325">
        <f t="shared" si="14"/>
        <v>0.99008644181523808</v>
      </c>
      <c r="G148" s="33">
        <v>26256535.829999998</v>
      </c>
      <c r="H148" s="325">
        <f t="shared" si="15"/>
        <v>0.98260305434541462</v>
      </c>
      <c r="I148" s="33">
        <v>2668679.89</v>
      </c>
      <c r="J148" s="199">
        <f t="shared" si="16"/>
        <v>9.9870486646150433E-2</v>
      </c>
      <c r="K148" s="468">
        <v>1255904.5900000001</v>
      </c>
      <c r="L148" s="55">
        <v>5.13116729188582E-2</v>
      </c>
      <c r="M148" s="160">
        <f t="shared" si="19"/>
        <v>1.1249065504251403</v>
      </c>
    </row>
    <row r="149" spans="1:16" ht="14.1" customHeight="1" x14ac:dyDescent="0.2">
      <c r="A149" s="40" t="s">
        <v>97</v>
      </c>
      <c r="B149" s="41" t="s">
        <v>112</v>
      </c>
      <c r="C149" s="230">
        <v>66531326.530000001</v>
      </c>
      <c r="D149" s="33">
        <v>65270936.759999998</v>
      </c>
      <c r="E149" s="33">
        <v>46223531.240000002</v>
      </c>
      <c r="F149" s="325">
        <f t="shared" si="14"/>
        <v>0.70817937560729449</v>
      </c>
      <c r="G149" s="33">
        <v>45322389.399999999</v>
      </c>
      <c r="H149" s="325">
        <f t="shared" si="15"/>
        <v>0.69437320268053715</v>
      </c>
      <c r="I149" s="33">
        <v>4721921.5199999996</v>
      </c>
      <c r="J149" s="199">
        <f t="shared" si="16"/>
        <v>7.23434005147255E-2</v>
      </c>
      <c r="K149" s="468">
        <v>5153416.0599999996</v>
      </c>
      <c r="L149" s="55">
        <v>8.8978614519374596E-2</v>
      </c>
      <c r="M149" s="160">
        <f t="shared" si="19"/>
        <v>-8.3729808534030892E-2</v>
      </c>
    </row>
    <row r="150" spans="1:16" ht="14.1" customHeight="1" x14ac:dyDescent="0.2">
      <c r="A150" s="40" t="s">
        <v>98</v>
      </c>
      <c r="B150" s="41" t="s">
        <v>121</v>
      </c>
      <c r="C150" s="230">
        <v>732282.55</v>
      </c>
      <c r="D150" s="33">
        <v>732282.55</v>
      </c>
      <c r="E150" s="33">
        <v>107542.34</v>
      </c>
      <c r="F150" s="325">
        <f t="shared" si="14"/>
        <v>0.14685907782453644</v>
      </c>
      <c r="G150" s="33">
        <v>107542.34</v>
      </c>
      <c r="H150" s="325">
        <f t="shared" si="15"/>
        <v>0.14685907782453644</v>
      </c>
      <c r="I150" s="33">
        <v>107542.34</v>
      </c>
      <c r="J150" s="199">
        <f t="shared" si="16"/>
        <v>0.14685907782453644</v>
      </c>
      <c r="K150" s="468">
        <v>116449.59</v>
      </c>
      <c r="L150" s="55">
        <v>0.15221248786494904</v>
      </c>
      <c r="M150" s="160">
        <f t="shared" si="19"/>
        <v>-7.6490179141034287E-2</v>
      </c>
    </row>
    <row r="151" spans="1:16" ht="14.1" customHeight="1" x14ac:dyDescent="0.2">
      <c r="A151" s="42" t="s">
        <v>545</v>
      </c>
      <c r="B151" s="43" t="s">
        <v>123</v>
      </c>
      <c r="C151" s="230">
        <v>89097229.569999993</v>
      </c>
      <c r="D151" s="33">
        <v>89097229.569999993</v>
      </c>
      <c r="E151" s="33">
        <v>89097229.569999993</v>
      </c>
      <c r="F151" s="464">
        <f t="shared" si="14"/>
        <v>1</v>
      </c>
      <c r="G151" s="33">
        <v>89097229.569999993</v>
      </c>
      <c r="H151" s="464">
        <f t="shared" si="15"/>
        <v>1</v>
      </c>
      <c r="I151" s="33">
        <v>10502127.07</v>
      </c>
      <c r="J151" s="466">
        <f t="shared" si="16"/>
        <v>0.11787265575692132</v>
      </c>
      <c r="K151" s="469">
        <v>8563916.5399999991</v>
      </c>
      <c r="L151" s="385">
        <v>9.517389737270647E-2</v>
      </c>
      <c r="M151" s="161">
        <f t="shared" si="19"/>
        <v>0.22632291206331656</v>
      </c>
      <c r="N151" s="593" t="s">
        <v>572</v>
      </c>
    </row>
    <row r="152" spans="1:16" ht="14.1" customHeight="1" thickBot="1" x14ac:dyDescent="0.25">
      <c r="A152" s="18">
        <v>9</v>
      </c>
      <c r="B152" s="2" t="s">
        <v>506</v>
      </c>
      <c r="C152" s="181">
        <f>SUBTOTAL(9,C139:C151)</f>
        <v>382329706.46000004</v>
      </c>
      <c r="D152" s="239">
        <f>SUBTOTAL(9,D139:D151)</f>
        <v>379190656.21000004</v>
      </c>
      <c r="E152" s="234">
        <f>SUBTOTAL(9,E139:E151)</f>
        <v>248327318.50999999</v>
      </c>
      <c r="F152" s="98">
        <f t="shared" si="14"/>
        <v>0.65488775749915507</v>
      </c>
      <c r="G152" s="234">
        <f>SUBTOTAL(9,G139:G151)</f>
        <v>229664764.34999999</v>
      </c>
      <c r="H152" s="98">
        <f t="shared" si="15"/>
        <v>0.60567094834427848</v>
      </c>
      <c r="I152" s="234">
        <f>SUBTOTAL(9,I139:I151)</f>
        <v>37097232.579999998</v>
      </c>
      <c r="J152" s="190">
        <f t="shared" si="16"/>
        <v>9.7832665368882757E-2</v>
      </c>
      <c r="K152" s="234">
        <f>SUBTOTAL(9,K139:K151)</f>
        <v>37185572.039999999</v>
      </c>
      <c r="L152" s="44">
        <v>0.10100000000000001</v>
      </c>
      <c r="M152" s="162">
        <f t="shared" si="19"/>
        <v>-2.3756380540542743E-3</v>
      </c>
    </row>
    <row r="153" spans="1:16" s="6" customFormat="1" ht="14.1" customHeight="1" thickBot="1" x14ac:dyDescent="0.25">
      <c r="A153" s="5"/>
      <c r="B153" s="4" t="s">
        <v>136</v>
      </c>
      <c r="C153" s="295">
        <f>SUBTOTAL(9,C82:C151)</f>
        <v>1996110606.45</v>
      </c>
      <c r="D153" s="240">
        <f>SUBTOTAL(9,D82:D151)</f>
        <v>2004321803.6299996</v>
      </c>
      <c r="E153" s="241">
        <f>SUBTOTAL(9,E82:E151)</f>
        <v>1376449103</v>
      </c>
      <c r="F153" s="202">
        <f>+E153/D153</f>
        <v>0.68674057255034193</v>
      </c>
      <c r="G153" s="241">
        <f>SUBTOTAL(9,G82:G151)</f>
        <v>1338387070.2999997</v>
      </c>
      <c r="H153" s="202">
        <f>+G153/D153</f>
        <v>0.66775059168446171</v>
      </c>
      <c r="I153" s="241">
        <f>SUBTOTAL(9,I82:I151)</f>
        <v>239309268.11000001</v>
      </c>
      <c r="J153" s="194">
        <f>+I153/D153</f>
        <v>0.11939662966126013</v>
      </c>
      <c r="K153" s="235">
        <f>SUBTOTAL(9,K82:K152)</f>
        <v>240483015.51000008</v>
      </c>
      <c r="L153" s="211">
        <v>0.126</v>
      </c>
      <c r="M153" s="164">
        <f t="shared" si="19"/>
        <v>-4.8807912588374469E-3</v>
      </c>
      <c r="O153" s="299"/>
    </row>
    <row r="154" spans="1:16" s="317" customFormat="1" ht="14.1" customHeight="1" x14ac:dyDescent="0.2">
      <c r="A154" s="289"/>
      <c r="B154" s="314"/>
      <c r="C154" s="315"/>
      <c r="D154" s="315"/>
      <c r="E154" s="315"/>
      <c r="F154" s="316"/>
      <c r="G154" s="315"/>
      <c r="H154" s="316"/>
      <c r="I154" s="315"/>
      <c r="J154" s="316"/>
      <c r="K154" s="315"/>
      <c r="L154" s="316"/>
      <c r="M154" s="316"/>
      <c r="O154" s="318"/>
      <c r="P154" s="319"/>
    </row>
    <row r="159" spans="1:16" x14ac:dyDescent="0.2">
      <c r="C159" s="413"/>
      <c r="D159" s="413"/>
      <c r="E159" s="413"/>
      <c r="F159" s="465"/>
      <c r="G159" s="413"/>
      <c r="H159" s="465"/>
      <c r="I159" s="413"/>
      <c r="J159" s="465"/>
    </row>
    <row r="161" spans="3:3" x14ac:dyDescent="0.2">
      <c r="C161" s="418"/>
    </row>
  </sheetData>
  <mergeCells count="5">
    <mergeCell ref="K2:L2"/>
    <mergeCell ref="K79:L79"/>
    <mergeCell ref="D2:J2"/>
    <mergeCell ref="A79:B79"/>
    <mergeCell ref="D79:J79"/>
  </mergeCells>
  <pageMargins left="0.51181102362204722" right="0.31496062992125984" top="0.74803149606299213" bottom="0.74803149606299213" header="0.31496062992125984" footer="0.31496062992125984"/>
  <pageSetup paperSize="9" scale="55" fitToHeight="0" orientation="portrait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  <rowBreaks count="1" manualBreakCount="1">
    <brk id="7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62"/>
  <sheetViews>
    <sheetView zoomScale="85" zoomScaleNormal="85" workbookViewId="0">
      <selection activeCell="P25" sqref="P25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1:13" ht="15.75" thickBot="1" x14ac:dyDescent="0.3">
      <c r="A1" s="7" t="s">
        <v>19</v>
      </c>
    </row>
    <row r="2" spans="1:13" x14ac:dyDescent="0.2">
      <c r="A2" s="8" t="s">
        <v>21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166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7" t="s">
        <v>41</v>
      </c>
      <c r="K3" s="95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22</v>
      </c>
      <c r="C4" s="177" t="s">
        <v>13</v>
      </c>
      <c r="D4" s="127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8" t="s">
        <v>550</v>
      </c>
    </row>
    <row r="5" spans="1:13" ht="15" customHeight="1" x14ac:dyDescent="0.2">
      <c r="A5" s="30">
        <v>1</v>
      </c>
      <c r="B5" s="21" t="s">
        <v>428</v>
      </c>
      <c r="C5" s="230">
        <v>187615066.34</v>
      </c>
      <c r="D5" s="236">
        <v>200143352.23000002</v>
      </c>
      <c r="E5" s="31">
        <v>115364813.75</v>
      </c>
      <c r="F5" s="49">
        <f t="shared" ref="F5:F14" si="0">+E5/D5</f>
        <v>0.57641091979625425</v>
      </c>
      <c r="G5" s="31">
        <v>99699362.079999998</v>
      </c>
      <c r="H5" s="49">
        <f t="shared" ref="H5:H14" si="1">+G5/D5</f>
        <v>0.49813976317048914</v>
      </c>
      <c r="I5" s="31">
        <v>22228443.460000001</v>
      </c>
      <c r="J5" s="172">
        <f t="shared" ref="J5:J14" si="2">+I5/D5</f>
        <v>0.11106261193454778</v>
      </c>
      <c r="K5" s="31">
        <v>23832176.900000002</v>
      </c>
      <c r="L5" s="53">
        <v>0.12606172303930088</v>
      </c>
      <c r="M5" s="159">
        <f t="shared" ref="M5:M11" si="3">+I5/K5-1</f>
        <v>-6.7292780123665574E-2</v>
      </c>
    </row>
    <row r="6" spans="1:13" ht="15" customHeight="1" x14ac:dyDescent="0.2">
      <c r="A6" s="32">
        <v>2</v>
      </c>
      <c r="B6" s="23" t="s">
        <v>429</v>
      </c>
      <c r="C6" s="230">
        <v>205332965.00999999</v>
      </c>
      <c r="D6" s="236">
        <v>218992723.08000001</v>
      </c>
      <c r="E6" s="31">
        <v>164779675.11000001</v>
      </c>
      <c r="F6" s="49">
        <f t="shared" si="0"/>
        <v>0.75244360996326132</v>
      </c>
      <c r="G6" s="31">
        <v>159978148.25999999</v>
      </c>
      <c r="H6" s="325">
        <f t="shared" si="1"/>
        <v>0.73051810128667394</v>
      </c>
      <c r="I6" s="31">
        <v>25511864.149999999</v>
      </c>
      <c r="J6" s="199">
        <f t="shared" si="2"/>
        <v>0.11649640130133587</v>
      </c>
      <c r="K6" s="31">
        <v>27872124.719999999</v>
      </c>
      <c r="L6" s="53">
        <v>0.14071902535019346</v>
      </c>
      <c r="M6" s="160">
        <f t="shared" si="3"/>
        <v>-8.4681759776511267E-2</v>
      </c>
    </row>
    <row r="7" spans="1:13" ht="15" customHeight="1" x14ac:dyDescent="0.2">
      <c r="A7" s="32">
        <v>4</v>
      </c>
      <c r="B7" s="23" t="s">
        <v>24</v>
      </c>
      <c r="C7" s="230">
        <v>246207865.18000001</v>
      </c>
      <c r="D7" s="236">
        <v>249416874.38</v>
      </c>
      <c r="E7" s="31">
        <v>54650825.909999996</v>
      </c>
      <c r="F7" s="49">
        <f t="shared" si="0"/>
        <v>0.21911438849456724</v>
      </c>
      <c r="G7" s="31">
        <v>49163373.93</v>
      </c>
      <c r="H7" s="325">
        <f t="shared" si="1"/>
        <v>0.19711326289454242</v>
      </c>
      <c r="I7" s="31">
        <v>30838634.739999998</v>
      </c>
      <c r="J7" s="199">
        <f t="shared" si="2"/>
        <v>0.12364293641582438</v>
      </c>
      <c r="K7" s="31">
        <v>31256404.48</v>
      </c>
      <c r="L7" s="53">
        <v>0.12239058222941156</v>
      </c>
      <c r="M7" s="160">
        <f t="shared" si="3"/>
        <v>-1.3365892429096249E-2</v>
      </c>
    </row>
    <row r="8" spans="1:13" ht="15" customHeight="1" x14ac:dyDescent="0.2">
      <c r="A8" s="149" t="s">
        <v>431</v>
      </c>
      <c r="B8" s="23" t="s">
        <v>432</v>
      </c>
      <c r="C8" s="230">
        <v>50069128.450000003</v>
      </c>
      <c r="D8" s="236">
        <v>51985209.539999999</v>
      </c>
      <c r="E8" s="31">
        <v>22548037.370000001</v>
      </c>
      <c r="F8" s="49">
        <f t="shared" si="0"/>
        <v>0.43373947262154289</v>
      </c>
      <c r="G8" s="31">
        <v>21586649.829999998</v>
      </c>
      <c r="H8" s="325">
        <f t="shared" si="1"/>
        <v>0.41524599056179928</v>
      </c>
      <c r="I8" s="31">
        <v>5582208.9400000004</v>
      </c>
      <c r="J8" s="199">
        <f t="shared" si="2"/>
        <v>0.10738071442618255</v>
      </c>
      <c r="K8" s="31">
        <v>8935028.2300000004</v>
      </c>
      <c r="L8" s="53">
        <v>0.17360619878390568</v>
      </c>
      <c r="M8" s="273">
        <f t="shared" si="3"/>
        <v>-0.3752443980806538</v>
      </c>
    </row>
    <row r="9" spans="1:13" ht="15" customHeight="1" x14ac:dyDescent="0.2">
      <c r="A9" s="149" t="s">
        <v>430</v>
      </c>
      <c r="B9" s="23" t="s">
        <v>23</v>
      </c>
      <c r="C9" s="230">
        <v>310628104.75999999</v>
      </c>
      <c r="D9" s="236">
        <v>311387862.89999998</v>
      </c>
      <c r="E9" s="31">
        <v>299750643.99000001</v>
      </c>
      <c r="F9" s="49">
        <f t="shared" si="0"/>
        <v>0.96262789820508454</v>
      </c>
      <c r="G9" s="31">
        <v>299706043.99000001</v>
      </c>
      <c r="H9" s="325">
        <f t="shared" si="1"/>
        <v>0.96248466847357017</v>
      </c>
      <c r="I9" s="31">
        <v>14877051.470000001</v>
      </c>
      <c r="J9" s="199">
        <f t="shared" si="2"/>
        <v>4.7776593896267761E-2</v>
      </c>
      <c r="K9" s="31">
        <v>9741862.2599999998</v>
      </c>
      <c r="L9" s="53">
        <v>3.1230402380945266E-2</v>
      </c>
      <c r="M9" s="159">
        <f t="shared" si="3"/>
        <v>0.52712603329294061</v>
      </c>
    </row>
    <row r="10" spans="1:13" ht="15" customHeight="1" x14ac:dyDescent="0.2">
      <c r="A10" s="149" t="s">
        <v>464</v>
      </c>
      <c r="B10" s="23" t="s">
        <v>100</v>
      </c>
      <c r="C10" s="230">
        <v>6604592.1299999999</v>
      </c>
      <c r="D10" s="236">
        <v>6245049.1600000001</v>
      </c>
      <c r="E10" s="31">
        <v>3436576.73</v>
      </c>
      <c r="F10" s="49">
        <f t="shared" si="0"/>
        <v>0.55028817899649651</v>
      </c>
      <c r="G10" s="31">
        <v>3205677.67</v>
      </c>
      <c r="H10" s="325">
        <f t="shared" si="1"/>
        <v>0.51331504170257003</v>
      </c>
      <c r="I10" s="31">
        <v>320027.06</v>
      </c>
      <c r="J10" s="199">
        <f t="shared" si="2"/>
        <v>5.1244922465910579E-2</v>
      </c>
      <c r="K10" s="151">
        <v>394356.56</v>
      </c>
      <c r="L10" s="55">
        <v>5.0883931574481268E-2</v>
      </c>
      <c r="M10" s="160">
        <f t="shared" si="3"/>
        <v>-0.18848298098553251</v>
      </c>
    </row>
    <row r="11" spans="1:13" ht="15" customHeight="1" x14ac:dyDescent="0.2">
      <c r="A11" s="149" t="s">
        <v>473</v>
      </c>
      <c r="B11" s="23" t="s">
        <v>474</v>
      </c>
      <c r="C11" s="230">
        <v>56634642.350000001</v>
      </c>
      <c r="D11" s="236">
        <v>59844199.200000003</v>
      </c>
      <c r="E11" s="31">
        <v>46050586.189999998</v>
      </c>
      <c r="F11" s="49">
        <f t="shared" si="0"/>
        <v>0.76950793569980624</v>
      </c>
      <c r="G11" s="31">
        <v>45066546.75</v>
      </c>
      <c r="H11" s="325">
        <f t="shared" si="1"/>
        <v>0.75306458023420253</v>
      </c>
      <c r="I11" s="31">
        <v>4551285.3899999997</v>
      </c>
      <c r="J11" s="199">
        <f t="shared" si="2"/>
        <v>7.6052239830122076E-2</v>
      </c>
      <c r="K11" s="151">
        <v>3313929.88</v>
      </c>
      <c r="L11" s="55">
        <v>6.7301019108845755E-2</v>
      </c>
      <c r="M11" s="160">
        <f t="shared" si="3"/>
        <v>0.37338011207406718</v>
      </c>
    </row>
    <row r="12" spans="1:13" ht="15" customHeight="1" x14ac:dyDescent="0.2">
      <c r="A12" s="32">
        <v>7</v>
      </c>
      <c r="B12" s="23" t="s">
        <v>433</v>
      </c>
      <c r="C12" s="230">
        <v>129158476.34</v>
      </c>
      <c r="D12" s="236">
        <v>116849730.95</v>
      </c>
      <c r="E12" s="31">
        <v>64485611.619999997</v>
      </c>
      <c r="F12" s="49">
        <f t="shared" si="0"/>
        <v>0.55186786564013046</v>
      </c>
      <c r="G12" s="31">
        <v>61963225.680000007</v>
      </c>
      <c r="H12" s="325">
        <f t="shared" si="1"/>
        <v>0.53028128671099872</v>
      </c>
      <c r="I12" s="31">
        <v>19755513.43</v>
      </c>
      <c r="J12" s="199">
        <f t="shared" si="2"/>
        <v>0.16906768436166433</v>
      </c>
      <c r="K12" s="151">
        <v>14000065.119999999</v>
      </c>
      <c r="L12" s="55">
        <v>0.16272312142806206</v>
      </c>
      <c r="M12" s="160">
        <f>+I12/K13-1</f>
        <v>-0.87237532537174178</v>
      </c>
    </row>
    <row r="13" spans="1:13" ht="15" customHeight="1" x14ac:dyDescent="0.2">
      <c r="A13" s="34" t="s">
        <v>434</v>
      </c>
      <c r="B13" s="25" t="s">
        <v>26</v>
      </c>
      <c r="C13" s="230">
        <v>839696804.13</v>
      </c>
      <c r="D13" s="236">
        <v>810629755.66999996</v>
      </c>
      <c r="E13" s="31">
        <v>390262413.08999997</v>
      </c>
      <c r="F13" s="49">
        <f t="shared" si="0"/>
        <v>0.48143114703141032</v>
      </c>
      <c r="G13" s="31">
        <v>390262413.08999997</v>
      </c>
      <c r="H13" s="464">
        <f t="shared" si="1"/>
        <v>0.48143114703141032</v>
      </c>
      <c r="I13" s="31">
        <v>192327178.11000001</v>
      </c>
      <c r="J13" s="466">
        <f t="shared" si="2"/>
        <v>0.23725649936331064</v>
      </c>
      <c r="K13" s="33">
        <v>154793839.72999999</v>
      </c>
      <c r="L13" s="55">
        <v>0.17159696296127386</v>
      </c>
      <c r="M13" s="160">
        <f>+I13/K14-1</f>
        <v>2.5752125569407522</v>
      </c>
    </row>
    <row r="14" spans="1:13" ht="15" customHeight="1" x14ac:dyDescent="0.2">
      <c r="A14" s="32">
        <v>8</v>
      </c>
      <c r="B14" s="23" t="s">
        <v>435</v>
      </c>
      <c r="C14" s="230">
        <v>215141158.63</v>
      </c>
      <c r="D14" s="236">
        <v>218047844.18000001</v>
      </c>
      <c r="E14" s="31">
        <v>199711034.58000001</v>
      </c>
      <c r="F14" s="49">
        <f t="shared" si="0"/>
        <v>0.91590465079369077</v>
      </c>
      <c r="G14" s="31">
        <v>199711034.58000001</v>
      </c>
      <c r="H14" s="325">
        <f t="shared" si="1"/>
        <v>0.91590465079369077</v>
      </c>
      <c r="I14" s="31">
        <v>54098503.030000001</v>
      </c>
      <c r="J14" s="199">
        <f t="shared" si="2"/>
        <v>0.24810381975316073</v>
      </c>
      <c r="K14" s="33">
        <v>53794613.619999997</v>
      </c>
      <c r="L14" s="55">
        <v>0.25487035641202405</v>
      </c>
      <c r="M14" s="160">
        <f>+I14/K15-1</f>
        <v>-0.83503254680646855</v>
      </c>
    </row>
    <row r="15" spans="1:13" ht="15" customHeight="1" x14ac:dyDescent="0.2">
      <c r="A15" s="9"/>
      <c r="B15" s="2" t="s">
        <v>27</v>
      </c>
      <c r="C15" s="232">
        <f>SUM(C5:C14)</f>
        <v>2247088803.3200002</v>
      </c>
      <c r="D15" s="239">
        <f>SUM(D5:D14)</f>
        <v>2243542601.29</v>
      </c>
      <c r="E15" s="234">
        <f>SUM(E5:E14)</f>
        <v>1361040218.3399999</v>
      </c>
      <c r="F15" s="98">
        <f t="shared" ref="F15:F27" si="4">+E15/D15</f>
        <v>0.60664781562758119</v>
      </c>
      <c r="G15" s="234">
        <f>SUM(G5:G14)</f>
        <v>1330342475.8599997</v>
      </c>
      <c r="H15" s="98">
        <f t="shared" ref="H15:H27" si="5">+G15/D15</f>
        <v>0.59296510576401562</v>
      </c>
      <c r="I15" s="234">
        <f>SUM(I5:I14)</f>
        <v>370090709.77999997</v>
      </c>
      <c r="J15" s="190">
        <f t="shared" ref="J15:J27" si="6">+I15/D15</f>
        <v>0.16495818245983113</v>
      </c>
      <c r="K15" s="234">
        <f>SUM(K5:K14)</f>
        <v>327934401.5</v>
      </c>
      <c r="L15" s="44">
        <v>0.14499999999999999</v>
      </c>
      <c r="M15" s="162">
        <f t="shared" ref="M15:M27" si="7">+I15/K15-1</f>
        <v>0.12855103974201376</v>
      </c>
    </row>
    <row r="16" spans="1:13" ht="15" customHeight="1" x14ac:dyDescent="0.2">
      <c r="A16" s="30">
        <v>1</v>
      </c>
      <c r="B16" s="21" t="s">
        <v>28</v>
      </c>
      <c r="C16" s="230">
        <v>45622302.869999997</v>
      </c>
      <c r="D16" s="236">
        <v>45628743.310000002</v>
      </c>
      <c r="E16" s="31">
        <v>39206901.859999999</v>
      </c>
      <c r="F16" s="49">
        <f t="shared" si="4"/>
        <v>0.8592588578131497</v>
      </c>
      <c r="G16" s="31">
        <v>38118618.020000003</v>
      </c>
      <c r="H16" s="49">
        <f t="shared" si="5"/>
        <v>0.83540801816573196</v>
      </c>
      <c r="I16" s="31">
        <v>4155697.09</v>
      </c>
      <c r="J16" s="172">
        <f t="shared" si="6"/>
        <v>9.1076299466902849E-2</v>
      </c>
      <c r="K16" s="31">
        <v>2984162.23</v>
      </c>
      <c r="L16" s="53">
        <v>6.418904378732336E-2</v>
      </c>
      <c r="M16" s="159">
        <f t="shared" si="7"/>
        <v>0.39258417261048173</v>
      </c>
    </row>
    <row r="17" spans="1:15" ht="15" customHeight="1" x14ac:dyDescent="0.2">
      <c r="A17" s="32">
        <v>2</v>
      </c>
      <c r="B17" s="23" t="s">
        <v>29</v>
      </c>
      <c r="C17" s="230">
        <v>39657006.960000001</v>
      </c>
      <c r="D17" s="236">
        <v>40563649.149999999</v>
      </c>
      <c r="E17" s="31">
        <v>33421510.73</v>
      </c>
      <c r="F17" s="325">
        <f t="shared" si="4"/>
        <v>0.82392761574312157</v>
      </c>
      <c r="G17" s="31">
        <v>32031817.199999999</v>
      </c>
      <c r="H17" s="325">
        <f t="shared" si="5"/>
        <v>0.78966803705331823</v>
      </c>
      <c r="I17" s="31">
        <v>1673954.43</v>
      </c>
      <c r="J17" s="199">
        <f t="shared" si="6"/>
        <v>4.1267353038428496E-2</v>
      </c>
      <c r="K17" s="33">
        <v>4046060.43</v>
      </c>
      <c r="L17" s="55">
        <v>0.1028496389227312</v>
      </c>
      <c r="M17" s="160">
        <f t="shared" si="7"/>
        <v>-0.58627547488211884</v>
      </c>
    </row>
    <row r="18" spans="1:15" ht="15" customHeight="1" x14ac:dyDescent="0.2">
      <c r="A18" s="36">
        <v>3</v>
      </c>
      <c r="B18" s="23" t="s">
        <v>30</v>
      </c>
      <c r="C18" s="230">
        <v>33818767.32</v>
      </c>
      <c r="D18" s="236">
        <v>34811055.780000001</v>
      </c>
      <c r="E18" s="31">
        <v>26937652.870000001</v>
      </c>
      <c r="F18" s="325">
        <f t="shared" si="4"/>
        <v>0.77382464468304046</v>
      </c>
      <c r="G18" s="31">
        <v>26013157.66</v>
      </c>
      <c r="H18" s="325">
        <f t="shared" si="5"/>
        <v>0.74726712755851954</v>
      </c>
      <c r="I18" s="31">
        <v>1076436.8899999999</v>
      </c>
      <c r="J18" s="199">
        <f t="shared" si="6"/>
        <v>3.0922270694772932E-2</v>
      </c>
      <c r="K18" s="33">
        <v>1256638.82</v>
      </c>
      <c r="L18" s="55">
        <v>3.7296677017647918E-2</v>
      </c>
      <c r="M18" s="160">
        <f t="shared" si="7"/>
        <v>-0.14339993889413682</v>
      </c>
    </row>
    <row r="19" spans="1:15" ht="15" customHeight="1" x14ac:dyDescent="0.2">
      <c r="A19" s="36">
        <v>4</v>
      </c>
      <c r="B19" s="23" t="s">
        <v>31</v>
      </c>
      <c r="C19" s="230">
        <v>15446559.359999999</v>
      </c>
      <c r="D19" s="236">
        <v>15251794.27</v>
      </c>
      <c r="E19" s="31">
        <v>10906460.140000001</v>
      </c>
      <c r="F19" s="325">
        <f t="shared" si="4"/>
        <v>0.71509357829805031</v>
      </c>
      <c r="G19" s="31">
        <v>10290978.630000001</v>
      </c>
      <c r="H19" s="325">
        <f t="shared" si="5"/>
        <v>0.6747388830337272</v>
      </c>
      <c r="I19" s="31">
        <v>1297381.07</v>
      </c>
      <c r="J19" s="199">
        <f t="shared" si="6"/>
        <v>8.5064160126518684E-2</v>
      </c>
      <c r="K19" s="33">
        <v>1476034.13</v>
      </c>
      <c r="L19" s="55">
        <v>8.7173994333248503E-2</v>
      </c>
      <c r="M19" s="160">
        <f t="shared" si="7"/>
        <v>-0.12103585978733422</v>
      </c>
      <c r="O19" s="406"/>
    </row>
    <row r="20" spans="1:15" ht="15" customHeight="1" x14ac:dyDescent="0.2">
      <c r="A20" s="36">
        <v>5</v>
      </c>
      <c r="B20" s="23" t="s">
        <v>32</v>
      </c>
      <c r="C20" s="230">
        <v>22575394.260000002</v>
      </c>
      <c r="D20" s="236">
        <v>23645539.370000001</v>
      </c>
      <c r="E20" s="31">
        <v>17889843.100000001</v>
      </c>
      <c r="F20" s="325">
        <f t="shared" si="4"/>
        <v>0.75658426818114921</v>
      </c>
      <c r="G20" s="31">
        <v>15424788.43</v>
      </c>
      <c r="H20" s="325">
        <f t="shared" si="5"/>
        <v>0.65233396407823196</v>
      </c>
      <c r="I20" s="31">
        <v>2580629.0099999998</v>
      </c>
      <c r="J20" s="199">
        <f t="shared" si="6"/>
        <v>0.10913809025960061</v>
      </c>
      <c r="K20" s="33">
        <v>2542266.79</v>
      </c>
      <c r="L20" s="55">
        <v>0.11315057344630101</v>
      </c>
      <c r="M20" s="160">
        <f t="shared" si="7"/>
        <v>1.5089769551684062E-2</v>
      </c>
    </row>
    <row r="21" spans="1:15" ht="15" customHeight="1" x14ac:dyDescent="0.2">
      <c r="A21" s="36">
        <v>6</v>
      </c>
      <c r="B21" s="23" t="s">
        <v>33</v>
      </c>
      <c r="C21" s="230">
        <v>22001694.969999999</v>
      </c>
      <c r="D21" s="236">
        <v>22851035.120000001</v>
      </c>
      <c r="E21" s="31">
        <v>11684902.34</v>
      </c>
      <c r="F21" s="325">
        <f t="shared" si="4"/>
        <v>0.51135111729678173</v>
      </c>
      <c r="G21" s="31">
        <v>11066538.449999999</v>
      </c>
      <c r="H21" s="325">
        <f t="shared" si="5"/>
        <v>0.48429046613797333</v>
      </c>
      <c r="I21" s="31">
        <v>830851.07</v>
      </c>
      <c r="J21" s="199">
        <f t="shared" si="6"/>
        <v>3.6359450048405503E-2</v>
      </c>
      <c r="K21" s="33">
        <v>3308567.56</v>
      </c>
      <c r="L21" s="55">
        <v>0.15105551673026379</v>
      </c>
      <c r="M21" s="160">
        <f t="shared" si="7"/>
        <v>-0.74887891665116846</v>
      </c>
    </row>
    <row r="22" spans="1:15" ht="15" customHeight="1" x14ac:dyDescent="0.2">
      <c r="A22" s="36">
        <v>7</v>
      </c>
      <c r="B22" s="23" t="s">
        <v>34</v>
      </c>
      <c r="C22" s="230">
        <v>27091049.690000001</v>
      </c>
      <c r="D22" s="236">
        <v>27593655.649999999</v>
      </c>
      <c r="E22" s="31">
        <v>21087619.460000001</v>
      </c>
      <c r="F22" s="325">
        <f t="shared" si="4"/>
        <v>0.76421985283417859</v>
      </c>
      <c r="G22" s="31">
        <v>20012719.949999999</v>
      </c>
      <c r="H22" s="325">
        <f t="shared" si="5"/>
        <v>0.72526526401006242</v>
      </c>
      <c r="I22" s="31">
        <v>988492.58</v>
      </c>
      <c r="J22" s="199">
        <f t="shared" si="6"/>
        <v>3.5823183145361898E-2</v>
      </c>
      <c r="K22" s="33">
        <v>2749842.38</v>
      </c>
      <c r="L22" s="55">
        <v>0.1012396605003246</v>
      </c>
      <c r="M22" s="160">
        <f t="shared" si="7"/>
        <v>-0.64052754907355824</v>
      </c>
    </row>
    <row r="23" spans="1:15" ht="15" customHeight="1" x14ac:dyDescent="0.2">
      <c r="A23" s="36">
        <v>8</v>
      </c>
      <c r="B23" s="23" t="s">
        <v>35</v>
      </c>
      <c r="C23" s="230">
        <v>30441458.079999998</v>
      </c>
      <c r="D23" s="236">
        <v>28825061.329999998</v>
      </c>
      <c r="E23" s="31">
        <v>21591964.219999999</v>
      </c>
      <c r="F23" s="325">
        <f t="shared" si="4"/>
        <v>0.74906915106986871</v>
      </c>
      <c r="G23" s="31">
        <v>20796731.5</v>
      </c>
      <c r="H23" s="325">
        <f t="shared" si="5"/>
        <v>0.72148091072248899</v>
      </c>
      <c r="I23" s="31">
        <v>610907.96</v>
      </c>
      <c r="J23" s="199">
        <f t="shared" si="6"/>
        <v>2.1193639555735857E-2</v>
      </c>
      <c r="K23" s="33">
        <v>928008.28</v>
      </c>
      <c r="L23" s="55">
        <v>3.4307398007102662E-2</v>
      </c>
      <c r="M23" s="160">
        <f t="shared" si="7"/>
        <v>-0.34169988224674031</v>
      </c>
    </row>
    <row r="24" spans="1:15" ht="15" customHeight="1" x14ac:dyDescent="0.2">
      <c r="A24" s="36">
        <v>9</v>
      </c>
      <c r="B24" s="23" t="s">
        <v>36</v>
      </c>
      <c r="C24" s="230">
        <v>29332471.370000001</v>
      </c>
      <c r="D24" s="236">
        <v>30995503.93</v>
      </c>
      <c r="E24" s="31">
        <v>18912641.440000001</v>
      </c>
      <c r="F24" s="325">
        <f t="shared" si="4"/>
        <v>0.61017370398984838</v>
      </c>
      <c r="G24" s="31">
        <v>17874075.93</v>
      </c>
      <c r="H24" s="325">
        <f t="shared" si="5"/>
        <v>0.57666673109644129</v>
      </c>
      <c r="I24" s="31">
        <v>4784762.63</v>
      </c>
      <c r="J24" s="199">
        <f t="shared" si="6"/>
        <v>0.15436957052886993</v>
      </c>
      <c r="K24" s="33">
        <v>7591189.6799999997</v>
      </c>
      <c r="L24" s="55">
        <v>0.19743732274784523</v>
      </c>
      <c r="M24" s="160">
        <f t="shared" si="7"/>
        <v>-0.36969528733999435</v>
      </c>
    </row>
    <row r="25" spans="1:15" ht="15" customHeight="1" x14ac:dyDescent="0.2">
      <c r="A25" s="37">
        <v>10</v>
      </c>
      <c r="B25" s="25" t="s">
        <v>37</v>
      </c>
      <c r="C25" s="230">
        <v>37490721.299999997</v>
      </c>
      <c r="D25" s="236">
        <v>38068787.479999997</v>
      </c>
      <c r="E25" s="31">
        <v>31117657.539999999</v>
      </c>
      <c r="F25" s="464">
        <f t="shared" si="4"/>
        <v>0.81740605887035733</v>
      </c>
      <c r="G25" s="31">
        <v>30047240.02</v>
      </c>
      <c r="H25" s="464">
        <f t="shared" si="5"/>
        <v>0.78928807584916549</v>
      </c>
      <c r="I25" s="31">
        <v>3319726.51</v>
      </c>
      <c r="J25" s="466">
        <f t="shared" si="6"/>
        <v>8.720336868475434E-2</v>
      </c>
      <c r="K25" s="35">
        <v>3465009.06</v>
      </c>
      <c r="L25" s="385">
        <v>9.0125032252745083E-2</v>
      </c>
      <c r="M25" s="161">
        <f t="shared" si="7"/>
        <v>-4.1928476227418687E-2</v>
      </c>
    </row>
    <row r="26" spans="1:15" ht="15" customHeight="1" thickBot="1" x14ac:dyDescent="0.25">
      <c r="A26" s="10">
        <v>6</v>
      </c>
      <c r="B26" s="2" t="s">
        <v>38</v>
      </c>
      <c r="C26" s="232">
        <f>SUM(C16:C25)</f>
        <v>303477426.18000001</v>
      </c>
      <c r="D26" s="239">
        <f>SUM(D16:D25)</f>
        <v>308234825.39000005</v>
      </c>
      <c r="E26" s="234">
        <f>SUM(E16:E25)</f>
        <v>232757153.70000002</v>
      </c>
      <c r="F26" s="98">
        <f t="shared" si="4"/>
        <v>0.75512931871179567</v>
      </c>
      <c r="G26" s="234">
        <f>SUM(G16:G25)</f>
        <v>221676665.79000002</v>
      </c>
      <c r="H26" s="98">
        <f t="shared" si="5"/>
        <v>0.71918111624641812</v>
      </c>
      <c r="I26" s="234">
        <f>SUM(I16:I25)</f>
        <v>21318839.239999995</v>
      </c>
      <c r="J26" s="190">
        <f t="shared" si="6"/>
        <v>6.9164278283694661E-2</v>
      </c>
      <c r="K26" s="234">
        <f>SUM(K16:K25)</f>
        <v>30347779.359999999</v>
      </c>
      <c r="L26" s="44">
        <v>9.7000000000000003E-2</v>
      </c>
      <c r="M26" s="162">
        <f t="shared" si="7"/>
        <v>-0.29751567694276282</v>
      </c>
      <c r="O26" s="406"/>
    </row>
    <row r="27" spans="1:15" s="6" customFormat="1" ht="19.5" customHeight="1" thickBot="1" x14ac:dyDescent="0.25">
      <c r="A27" s="5"/>
      <c r="B27" s="4" t="s">
        <v>11</v>
      </c>
      <c r="C27" s="233">
        <f>+C15+C26</f>
        <v>2550566229.5</v>
      </c>
      <c r="D27" s="240">
        <f>+D15+D26</f>
        <v>2551777426.6799998</v>
      </c>
      <c r="E27" s="241">
        <f>+E15+E26</f>
        <v>1593797372.04</v>
      </c>
      <c r="F27" s="202">
        <f t="shared" si="4"/>
        <v>0.62458322398188793</v>
      </c>
      <c r="G27" s="241">
        <f>+G15+G26</f>
        <v>1552019141.6499996</v>
      </c>
      <c r="H27" s="202">
        <f t="shared" si="5"/>
        <v>0.60821101614228956</v>
      </c>
      <c r="I27" s="241">
        <f>+I15+I26</f>
        <v>391409549.01999998</v>
      </c>
      <c r="J27" s="194">
        <f t="shared" si="6"/>
        <v>0.15338702542299895</v>
      </c>
      <c r="K27" s="235">
        <f>+K15+K26</f>
        <v>358282180.86000001</v>
      </c>
      <c r="L27" s="211">
        <v>0.13900000000000001</v>
      </c>
      <c r="M27" s="164">
        <f t="shared" si="7"/>
        <v>9.2461668287501464E-2</v>
      </c>
    </row>
    <row r="28" spans="1:15" x14ac:dyDescent="0.2">
      <c r="C28" s="414"/>
      <c r="D28" s="414"/>
      <c r="E28" s="414"/>
      <c r="F28" s="534"/>
      <c r="G28" s="414"/>
      <c r="H28" s="534"/>
      <c r="I28" s="414"/>
      <c r="J28" s="534"/>
      <c r="K28" s="414"/>
    </row>
    <row r="30" spans="1:15" ht="15.75" thickBot="1" x14ac:dyDescent="0.3">
      <c r="A30" s="7" t="s">
        <v>19</v>
      </c>
    </row>
    <row r="31" spans="1:15" ht="26.25" customHeight="1" x14ac:dyDescent="0.2">
      <c r="A31" s="589" t="s">
        <v>499</v>
      </c>
      <c r="B31" s="590"/>
      <c r="C31" s="183" t="s">
        <v>510</v>
      </c>
      <c r="D31" s="577" t="s">
        <v>552</v>
      </c>
      <c r="E31" s="575"/>
      <c r="F31" s="575"/>
      <c r="G31" s="575"/>
      <c r="H31" s="575"/>
      <c r="I31" s="575"/>
      <c r="J31" s="576"/>
      <c r="K31" s="571" t="s">
        <v>553</v>
      </c>
      <c r="L31" s="572"/>
      <c r="M31" s="228"/>
    </row>
    <row r="32" spans="1:15" x14ac:dyDescent="0.2">
      <c r="C32" s="176">
        <v>1</v>
      </c>
      <c r="D32" s="166">
        <v>2</v>
      </c>
      <c r="E32" s="95">
        <v>3</v>
      </c>
      <c r="F32" s="96" t="s">
        <v>39</v>
      </c>
      <c r="G32" s="95">
        <v>4</v>
      </c>
      <c r="H32" s="96" t="s">
        <v>40</v>
      </c>
      <c r="I32" s="95">
        <v>5</v>
      </c>
      <c r="J32" s="167" t="s">
        <v>41</v>
      </c>
      <c r="K32" s="95" t="s">
        <v>42</v>
      </c>
      <c r="L32" s="16" t="s">
        <v>43</v>
      </c>
      <c r="M32" s="157" t="s">
        <v>368</v>
      </c>
    </row>
    <row r="33" spans="1:13" ht="25.5" x14ac:dyDescent="0.2">
      <c r="A33" s="1"/>
      <c r="B33" s="2" t="s">
        <v>22</v>
      </c>
      <c r="C33" s="177" t="s">
        <v>13</v>
      </c>
      <c r="D33" s="127" t="s">
        <v>14</v>
      </c>
      <c r="E33" s="97" t="s">
        <v>15</v>
      </c>
      <c r="F33" s="97" t="s">
        <v>18</v>
      </c>
      <c r="G33" s="97" t="s">
        <v>16</v>
      </c>
      <c r="H33" s="97" t="s">
        <v>18</v>
      </c>
      <c r="I33" s="97" t="s">
        <v>17</v>
      </c>
      <c r="J33" s="128" t="s">
        <v>18</v>
      </c>
      <c r="K33" s="97" t="s">
        <v>17</v>
      </c>
      <c r="L33" s="12" t="s">
        <v>18</v>
      </c>
      <c r="M33" s="158" t="s">
        <v>550</v>
      </c>
    </row>
    <row r="34" spans="1:13" ht="15" customHeight="1" x14ac:dyDescent="0.2">
      <c r="A34" s="30">
        <v>1</v>
      </c>
      <c r="B34" s="21" t="s">
        <v>428</v>
      </c>
      <c r="C34" s="230">
        <v>182282357.78</v>
      </c>
      <c r="D34" s="236">
        <v>191173138.31</v>
      </c>
      <c r="E34" s="31">
        <v>108757827.05</v>
      </c>
      <c r="F34" s="49">
        <f t="shared" ref="F34:F43" si="8">+E34/D34</f>
        <v>0.56889701142867632</v>
      </c>
      <c r="G34" s="31">
        <v>93426660.730000004</v>
      </c>
      <c r="H34" s="49">
        <f t="shared" ref="H34:H43" si="9">+G34/D34</f>
        <v>0.48870182053768685</v>
      </c>
      <c r="I34" s="31">
        <v>22222996.640000001</v>
      </c>
      <c r="J34" s="172">
        <f t="shared" ref="J34:J43" si="10">+I34/D34</f>
        <v>0.11624539324119861</v>
      </c>
      <c r="K34" s="31">
        <v>23832176.900000002</v>
      </c>
      <c r="L34" s="53">
        <v>0.13392778151820539</v>
      </c>
      <c r="M34" s="159">
        <f t="shared" ref="M34:M40" si="11">+I34/K34-1</f>
        <v>-6.7521329115344142E-2</v>
      </c>
    </row>
    <row r="35" spans="1:13" ht="15" customHeight="1" x14ac:dyDescent="0.2">
      <c r="A35" s="32">
        <v>2</v>
      </c>
      <c r="B35" s="23" t="s">
        <v>429</v>
      </c>
      <c r="C35" s="230">
        <v>205272445.00999999</v>
      </c>
      <c r="D35" s="236">
        <v>218147121.28999999</v>
      </c>
      <c r="E35" s="31">
        <v>164776408.11000001</v>
      </c>
      <c r="F35" s="49">
        <f t="shared" si="8"/>
        <v>0.75534532445628688</v>
      </c>
      <c r="G35" s="31">
        <v>159974881.25999999</v>
      </c>
      <c r="H35" s="325">
        <f t="shared" si="9"/>
        <v>0.73333482612100531</v>
      </c>
      <c r="I35" s="31">
        <v>25511864.149999999</v>
      </c>
      <c r="J35" s="199">
        <f t="shared" si="10"/>
        <v>0.11694797528904856</v>
      </c>
      <c r="K35" s="33">
        <v>27814104.949999999</v>
      </c>
      <c r="L35" s="55">
        <v>0.14330217862145248</v>
      </c>
      <c r="M35" s="160">
        <f t="shared" si="11"/>
        <v>-8.2772420832474047E-2</v>
      </c>
    </row>
    <row r="36" spans="1:13" ht="15" customHeight="1" x14ac:dyDescent="0.2">
      <c r="A36" s="32">
        <v>4</v>
      </c>
      <c r="B36" s="23" t="s">
        <v>24</v>
      </c>
      <c r="C36" s="230">
        <v>244658507.91</v>
      </c>
      <c r="D36" s="236">
        <v>243944070.84999999</v>
      </c>
      <c r="E36" s="31">
        <v>52607763.490000002</v>
      </c>
      <c r="F36" s="49">
        <f t="shared" si="8"/>
        <v>0.21565502004903517</v>
      </c>
      <c r="G36" s="31">
        <v>48037802.880000003</v>
      </c>
      <c r="H36" s="325">
        <f t="shared" si="9"/>
        <v>0.19692137920227712</v>
      </c>
      <c r="I36" s="31">
        <v>30834717.359999999</v>
      </c>
      <c r="J36" s="199">
        <f t="shared" si="10"/>
        <v>0.1264007657679867</v>
      </c>
      <c r="K36" s="33">
        <v>31256404.48</v>
      </c>
      <c r="L36" s="55">
        <v>0.13117091610812687</v>
      </c>
      <c r="M36" s="160">
        <f t="shared" si="11"/>
        <v>-1.349122290344773E-2</v>
      </c>
    </row>
    <row r="37" spans="1:13" ht="15" customHeight="1" x14ac:dyDescent="0.2">
      <c r="A37" s="32" t="s">
        <v>431</v>
      </c>
      <c r="B37" s="23" t="s">
        <v>25</v>
      </c>
      <c r="C37" s="230">
        <v>42675310.450000003</v>
      </c>
      <c r="D37" s="236">
        <v>44093171.780000001</v>
      </c>
      <c r="E37" s="31">
        <v>21999212.370000001</v>
      </c>
      <c r="F37" s="49">
        <f t="shared" si="8"/>
        <v>0.4989256041675485</v>
      </c>
      <c r="G37" s="31">
        <v>21037824.829999998</v>
      </c>
      <c r="H37" s="325">
        <f t="shared" si="9"/>
        <v>0.47712205724203399</v>
      </c>
      <c r="I37" s="31">
        <v>5582208.9400000004</v>
      </c>
      <c r="J37" s="199">
        <f t="shared" si="10"/>
        <v>0.1266003037352828</v>
      </c>
      <c r="K37" s="33">
        <v>8822541.75</v>
      </c>
      <c r="L37" s="55">
        <v>0.22098043300475742</v>
      </c>
      <c r="M37" s="160">
        <f t="shared" si="11"/>
        <v>-0.36727882982248283</v>
      </c>
    </row>
    <row r="38" spans="1:13" ht="15" customHeight="1" x14ac:dyDescent="0.2">
      <c r="A38" s="32" t="s">
        <v>430</v>
      </c>
      <c r="B38" s="23" t="s">
        <v>23</v>
      </c>
      <c r="C38" s="230">
        <v>309902947.29000002</v>
      </c>
      <c r="D38" s="236">
        <v>310392705.43000001</v>
      </c>
      <c r="E38" s="31">
        <v>299750643.99000001</v>
      </c>
      <c r="F38" s="49">
        <f t="shared" si="8"/>
        <v>0.96571420251240403</v>
      </c>
      <c r="G38" s="31">
        <v>299706043.99000001</v>
      </c>
      <c r="H38" s="325">
        <f t="shared" si="9"/>
        <v>0.96557051356862489</v>
      </c>
      <c r="I38" s="31">
        <v>14877051.470000001</v>
      </c>
      <c r="J38" s="199">
        <f t="shared" si="10"/>
        <v>4.7929771575624495E-2</v>
      </c>
      <c r="K38" s="33">
        <v>9715993.0299999993</v>
      </c>
      <c r="L38" s="55">
        <v>3.1450909108278371E-2</v>
      </c>
      <c r="M38" s="160">
        <f t="shared" si="11"/>
        <v>0.5311920690004861</v>
      </c>
    </row>
    <row r="39" spans="1:13" ht="15" customHeight="1" x14ac:dyDescent="0.2">
      <c r="A39" s="32" t="s">
        <v>464</v>
      </c>
      <c r="B39" s="23" t="s">
        <v>465</v>
      </c>
      <c r="C39" s="230">
        <v>6604592.1299999999</v>
      </c>
      <c r="D39" s="236">
        <v>6245049.1600000001</v>
      </c>
      <c r="E39" s="31">
        <v>3436576.73</v>
      </c>
      <c r="F39" s="49">
        <f t="shared" si="8"/>
        <v>0.55028817899649651</v>
      </c>
      <c r="G39" s="31">
        <v>3205677.67</v>
      </c>
      <c r="H39" s="325">
        <f t="shared" si="9"/>
        <v>0.51331504170257003</v>
      </c>
      <c r="I39" s="31">
        <v>320027.06</v>
      </c>
      <c r="J39" s="199">
        <f t="shared" si="10"/>
        <v>5.1244922465910579E-2</v>
      </c>
      <c r="K39" s="151">
        <v>394356.56</v>
      </c>
      <c r="L39" s="55">
        <v>5.0883931574481268E-2</v>
      </c>
      <c r="M39" s="160">
        <f t="shared" si="11"/>
        <v>-0.18848298098553251</v>
      </c>
    </row>
    <row r="40" spans="1:13" ht="15" customHeight="1" x14ac:dyDescent="0.2">
      <c r="A40" s="32" t="s">
        <v>473</v>
      </c>
      <c r="B40" s="23" t="s">
        <v>475</v>
      </c>
      <c r="C40" s="230">
        <v>43447489.090000004</v>
      </c>
      <c r="D40" s="236">
        <v>42619380.969999999</v>
      </c>
      <c r="E40" s="31">
        <v>33100663.780000001</v>
      </c>
      <c r="F40" s="49">
        <f t="shared" si="8"/>
        <v>0.77665754468136761</v>
      </c>
      <c r="G40" s="31">
        <v>32384003.73</v>
      </c>
      <c r="H40" s="325">
        <f t="shared" si="9"/>
        <v>0.75984218899836364</v>
      </c>
      <c r="I40" s="31">
        <v>2161800.62</v>
      </c>
      <c r="J40" s="199">
        <f t="shared" si="10"/>
        <v>5.0723416689738003E-2</v>
      </c>
      <c r="K40" s="151">
        <v>3102618.07</v>
      </c>
      <c r="L40" s="55">
        <v>8.5842926239456968E-2</v>
      </c>
      <c r="M40" s="160">
        <f t="shared" si="11"/>
        <v>-0.30323340764917284</v>
      </c>
    </row>
    <row r="41" spans="1:13" ht="15" customHeight="1" x14ac:dyDescent="0.2">
      <c r="A41" s="32">
        <v>7</v>
      </c>
      <c r="B41" s="23" t="s">
        <v>433</v>
      </c>
      <c r="C41" s="230">
        <v>129122876.34</v>
      </c>
      <c r="D41" s="236">
        <v>116814130.95</v>
      </c>
      <c r="E41" s="31">
        <v>64455611.619999997</v>
      </c>
      <c r="F41" s="49">
        <f t="shared" si="8"/>
        <v>0.55177923334967893</v>
      </c>
      <c r="G41" s="31">
        <v>61963225.680000007</v>
      </c>
      <c r="H41" s="325">
        <f t="shared" si="9"/>
        <v>0.5304428939896163</v>
      </c>
      <c r="I41" s="31">
        <v>19755513.43</v>
      </c>
      <c r="J41" s="199">
        <f t="shared" si="10"/>
        <v>0.16911920903179051</v>
      </c>
      <c r="K41" s="151">
        <v>13999889.67</v>
      </c>
      <c r="L41" s="55">
        <v>0.16281570272575516</v>
      </c>
      <c r="M41" s="160">
        <f>+I41/K42-1</f>
        <v>-0.55904025970941673</v>
      </c>
    </row>
    <row r="42" spans="1:13" ht="15" customHeight="1" x14ac:dyDescent="0.2">
      <c r="A42" s="34" t="s">
        <v>434</v>
      </c>
      <c r="B42" s="25" t="s">
        <v>26</v>
      </c>
      <c r="C42" s="230">
        <v>333733413.32999998</v>
      </c>
      <c r="D42" s="236">
        <v>329136617.48000002</v>
      </c>
      <c r="E42" s="31">
        <v>200159510.28999999</v>
      </c>
      <c r="F42" s="49">
        <f t="shared" si="8"/>
        <v>0.60813504076969704</v>
      </c>
      <c r="G42" s="31">
        <v>200159510.28999999</v>
      </c>
      <c r="H42" s="464">
        <f t="shared" si="9"/>
        <v>0.60813504076969704</v>
      </c>
      <c r="I42" s="31">
        <v>43852453.939999998</v>
      </c>
      <c r="J42" s="466">
        <f t="shared" si="10"/>
        <v>0.13323480770918689</v>
      </c>
      <c r="K42" s="33">
        <v>44801172.590000004</v>
      </c>
      <c r="L42" s="55">
        <v>0.13804046043009083</v>
      </c>
      <c r="M42" s="161">
        <f>+I42/K43-1</f>
        <v>-0.16937636373973708</v>
      </c>
    </row>
    <row r="43" spans="1:13" ht="15" customHeight="1" x14ac:dyDescent="0.2">
      <c r="A43" s="32">
        <v>8</v>
      </c>
      <c r="B43" s="23" t="s">
        <v>435</v>
      </c>
      <c r="C43" s="230">
        <v>209900385.63</v>
      </c>
      <c r="D43" s="236">
        <v>212807071.18000001</v>
      </c>
      <c r="E43" s="31">
        <v>199516034.58000001</v>
      </c>
      <c r="F43" s="49">
        <f t="shared" si="8"/>
        <v>0.93754419659881527</v>
      </c>
      <c r="G43" s="31">
        <v>199516034.58000001</v>
      </c>
      <c r="H43" s="325">
        <f t="shared" si="9"/>
        <v>0.93754419659881527</v>
      </c>
      <c r="I43" s="31">
        <v>54098503.030000001</v>
      </c>
      <c r="J43" s="199">
        <f t="shared" si="10"/>
        <v>0.25421384134478081</v>
      </c>
      <c r="K43" s="35">
        <v>52794613.619999997</v>
      </c>
      <c r="L43" s="385">
        <v>0.25625865292287636</v>
      </c>
      <c r="M43" s="161">
        <f>+I43/K44-1</f>
        <v>-0.7501614753144088</v>
      </c>
    </row>
    <row r="44" spans="1:13" ht="15" customHeight="1" x14ac:dyDescent="0.2">
      <c r="A44" s="9"/>
      <c r="B44" s="2" t="s">
        <v>27</v>
      </c>
      <c r="C44" s="239">
        <f>SUM(C34:C43)</f>
        <v>1707600324.96</v>
      </c>
      <c r="D44" s="239">
        <f>SUM(D34:D43)</f>
        <v>1715372457.4000001</v>
      </c>
      <c r="E44" s="234">
        <f>SUM(E34:E43)</f>
        <v>1148560252.01</v>
      </c>
      <c r="F44" s="98">
        <f t="shared" ref="F44:F56" si="12">+E44/D44</f>
        <v>0.66956901811917824</v>
      </c>
      <c r="G44" s="234">
        <f>SUM(G34:G43)</f>
        <v>1119411665.6399999</v>
      </c>
      <c r="H44" s="98">
        <f t="shared" ref="H44:H56" si="13">+G44/D44</f>
        <v>0.65257644822903271</v>
      </c>
      <c r="I44" s="234">
        <f>SUM(I34:I43)</f>
        <v>219217136.64000002</v>
      </c>
      <c r="J44" s="190">
        <f t="shared" ref="J44:J56" si="14">+I44/D44</f>
        <v>0.12779564909901181</v>
      </c>
      <c r="K44" s="234">
        <f>SUM(K34:K43)</f>
        <v>216533871.62</v>
      </c>
      <c r="L44" s="44">
        <v>0.13400000000000001</v>
      </c>
      <c r="M44" s="162">
        <f t="shared" ref="M44:M56" si="15">+I44/K44-1</f>
        <v>1.2391895087475957E-2</v>
      </c>
    </row>
    <row r="45" spans="1:13" ht="15" customHeight="1" x14ac:dyDescent="0.2">
      <c r="A45" s="30">
        <v>1</v>
      </c>
      <c r="B45" s="21" t="s">
        <v>28</v>
      </c>
      <c r="C45" s="230">
        <v>45393979.670000002</v>
      </c>
      <c r="D45" s="236">
        <v>45400420.100000001</v>
      </c>
      <c r="E45" s="31">
        <v>39206901.859999999</v>
      </c>
      <c r="F45" s="49">
        <f t="shared" si="12"/>
        <v>0.86358015572635638</v>
      </c>
      <c r="G45" s="31">
        <v>38118618.020000003</v>
      </c>
      <c r="H45" s="49">
        <f t="shared" si="13"/>
        <v>0.83960936784371298</v>
      </c>
      <c r="I45" s="31">
        <v>4155697.09</v>
      </c>
      <c r="J45" s="172">
        <f t="shared" si="14"/>
        <v>9.15343311988428E-2</v>
      </c>
      <c r="K45" s="31">
        <v>2984162.23</v>
      </c>
      <c r="L45" s="53">
        <v>6.6250710718645078E-2</v>
      </c>
      <c r="M45" s="159">
        <f t="shared" si="15"/>
        <v>0.39258417261048173</v>
      </c>
    </row>
    <row r="46" spans="1:13" ht="15" customHeight="1" x14ac:dyDescent="0.2">
      <c r="A46" s="32">
        <v>2</v>
      </c>
      <c r="B46" s="23" t="s">
        <v>29</v>
      </c>
      <c r="C46" s="230">
        <v>39077838.960000001</v>
      </c>
      <c r="D46" s="236">
        <v>39437027.850000001</v>
      </c>
      <c r="E46" s="31">
        <v>33406510.73</v>
      </c>
      <c r="F46" s="325">
        <f t="shared" si="12"/>
        <v>0.84708489841229251</v>
      </c>
      <c r="G46" s="31">
        <v>32031817.199999999</v>
      </c>
      <c r="H46" s="325">
        <f t="shared" si="13"/>
        <v>0.81222695893397545</v>
      </c>
      <c r="I46" s="31">
        <v>1673954.43</v>
      </c>
      <c r="J46" s="199">
        <f t="shared" si="14"/>
        <v>4.2446262339214287E-2</v>
      </c>
      <c r="K46" s="33">
        <v>4046060.43</v>
      </c>
      <c r="L46" s="55">
        <v>0.10503908708778606</v>
      </c>
      <c r="M46" s="160">
        <f t="shared" si="15"/>
        <v>-0.58627547488211884</v>
      </c>
    </row>
    <row r="47" spans="1:13" ht="15" customHeight="1" x14ac:dyDescent="0.2">
      <c r="A47" s="36">
        <v>3</v>
      </c>
      <c r="B47" s="23" t="s">
        <v>30</v>
      </c>
      <c r="C47" s="230">
        <v>32320121.32</v>
      </c>
      <c r="D47" s="236">
        <v>32420398.18</v>
      </c>
      <c r="E47" s="31">
        <v>26352676.539999999</v>
      </c>
      <c r="F47" s="325">
        <f t="shared" si="12"/>
        <v>0.81284247015377031</v>
      </c>
      <c r="G47" s="31">
        <v>25428181.329999998</v>
      </c>
      <c r="H47" s="325">
        <f t="shared" si="13"/>
        <v>0.7843266201982223</v>
      </c>
      <c r="I47" s="31">
        <v>958081.25</v>
      </c>
      <c r="J47" s="199">
        <f t="shared" si="14"/>
        <v>2.9551803919269447E-2</v>
      </c>
      <c r="K47" s="33">
        <v>944034.19</v>
      </c>
      <c r="L47" s="55">
        <v>2.9261528780471946E-2</v>
      </c>
      <c r="M47" s="160">
        <f t="shared" si="15"/>
        <v>1.4879821248847014E-2</v>
      </c>
    </row>
    <row r="48" spans="1:13" ht="15" customHeight="1" x14ac:dyDescent="0.2">
      <c r="A48" s="36">
        <v>4</v>
      </c>
      <c r="B48" s="23" t="s">
        <v>31</v>
      </c>
      <c r="C48" s="230">
        <v>15096559.359999999</v>
      </c>
      <c r="D48" s="236">
        <v>15102251.470000001</v>
      </c>
      <c r="E48" s="31">
        <v>10829551.77</v>
      </c>
      <c r="F48" s="325">
        <f t="shared" si="12"/>
        <v>0.71708193917393426</v>
      </c>
      <c r="G48" s="31">
        <v>10234070.26</v>
      </c>
      <c r="H48" s="325">
        <f t="shared" si="13"/>
        <v>0.67765195675158485</v>
      </c>
      <c r="I48" s="31">
        <v>1297381.07</v>
      </c>
      <c r="J48" s="199">
        <f t="shared" si="14"/>
        <v>8.590646716333615E-2</v>
      </c>
      <c r="K48" s="33">
        <v>1472388.8</v>
      </c>
      <c r="L48" s="55">
        <v>9.9209647848060772E-2</v>
      </c>
      <c r="M48" s="160">
        <f t="shared" si="15"/>
        <v>-0.11885972645268694</v>
      </c>
    </row>
    <row r="49" spans="1:13" ht="15" customHeight="1" x14ac:dyDescent="0.2">
      <c r="A49" s="36">
        <v>5</v>
      </c>
      <c r="B49" s="23" t="s">
        <v>32</v>
      </c>
      <c r="C49" s="230">
        <v>21002284.260000002</v>
      </c>
      <c r="D49" s="236">
        <v>21290726.550000001</v>
      </c>
      <c r="E49" s="31">
        <v>16049586.640000001</v>
      </c>
      <c r="F49" s="325">
        <f t="shared" si="12"/>
        <v>0.75382991756098616</v>
      </c>
      <c r="G49" s="31">
        <v>15422336.43</v>
      </c>
      <c r="H49" s="325">
        <f t="shared" si="13"/>
        <v>0.72436872427916266</v>
      </c>
      <c r="I49" s="31">
        <v>2580629.0099999998</v>
      </c>
      <c r="J49" s="199">
        <f t="shared" si="14"/>
        <v>0.12120906273158628</v>
      </c>
      <c r="K49" s="33">
        <v>2541575.71</v>
      </c>
      <c r="L49" s="55">
        <v>0.12229498845716459</v>
      </c>
      <c r="M49" s="160">
        <f t="shared" si="15"/>
        <v>1.5365782670310413E-2</v>
      </c>
    </row>
    <row r="50" spans="1:13" ht="15" customHeight="1" x14ac:dyDescent="0.2">
      <c r="A50" s="36">
        <v>6</v>
      </c>
      <c r="B50" s="23" t="s">
        <v>33</v>
      </c>
      <c r="C50" s="230">
        <v>21419602.420000002</v>
      </c>
      <c r="D50" s="236">
        <v>21448889.640000001</v>
      </c>
      <c r="E50" s="31">
        <v>11640903.4</v>
      </c>
      <c r="F50" s="325">
        <f t="shared" si="12"/>
        <v>0.54272755351824353</v>
      </c>
      <c r="G50" s="31">
        <v>11022539.51</v>
      </c>
      <c r="H50" s="325">
        <f t="shared" si="13"/>
        <v>0.51389790777067001</v>
      </c>
      <c r="I50" s="31">
        <v>827377.97</v>
      </c>
      <c r="J50" s="199">
        <f t="shared" si="14"/>
        <v>3.8574396338774762E-2</v>
      </c>
      <c r="K50" s="33">
        <v>3308567.56</v>
      </c>
      <c r="L50" s="55">
        <v>0.15760516171406802</v>
      </c>
      <c r="M50" s="160">
        <f t="shared" si="15"/>
        <v>-0.74992864585784669</v>
      </c>
    </row>
    <row r="51" spans="1:13" ht="15" customHeight="1" x14ac:dyDescent="0.2">
      <c r="A51" s="36">
        <v>7</v>
      </c>
      <c r="B51" s="23" t="s">
        <v>34</v>
      </c>
      <c r="C51" s="230">
        <v>25695480.390000001</v>
      </c>
      <c r="D51" s="236">
        <v>25598086.350000001</v>
      </c>
      <c r="E51" s="31">
        <v>20574879.899999999</v>
      </c>
      <c r="F51" s="325">
        <f t="shared" si="12"/>
        <v>0.80376632919671342</v>
      </c>
      <c r="G51" s="31">
        <v>19794217.510000002</v>
      </c>
      <c r="H51" s="325">
        <f t="shared" si="13"/>
        <v>0.77326942488417694</v>
      </c>
      <c r="I51" s="31">
        <v>988492.58</v>
      </c>
      <c r="J51" s="199">
        <f t="shared" si="14"/>
        <v>3.8615878018553519E-2</v>
      </c>
      <c r="K51" s="33">
        <v>2749542.3</v>
      </c>
      <c r="L51" s="55">
        <v>0.10951712124780377</v>
      </c>
      <c r="M51" s="160">
        <f t="shared" si="15"/>
        <v>-0.64048831691005437</v>
      </c>
    </row>
    <row r="52" spans="1:13" ht="15" customHeight="1" x14ac:dyDescent="0.2">
      <c r="A52" s="36">
        <v>8</v>
      </c>
      <c r="B52" s="23" t="s">
        <v>35</v>
      </c>
      <c r="C52" s="230">
        <v>27379622.440000001</v>
      </c>
      <c r="D52" s="236">
        <v>27405382.809999999</v>
      </c>
      <c r="E52" s="31">
        <v>21440688.57</v>
      </c>
      <c r="F52" s="325">
        <f t="shared" si="12"/>
        <v>0.78235318654904795</v>
      </c>
      <c r="G52" s="31">
        <v>20645455.850000001</v>
      </c>
      <c r="H52" s="325">
        <f t="shared" si="13"/>
        <v>0.75333579512951176</v>
      </c>
      <c r="I52" s="31">
        <v>604907.96</v>
      </c>
      <c r="J52" s="199">
        <f t="shared" si="14"/>
        <v>2.2072596620663663E-2</v>
      </c>
      <c r="K52" s="33">
        <v>928008.28</v>
      </c>
      <c r="L52" s="55">
        <v>3.5151898372659432E-2</v>
      </c>
      <c r="M52" s="160">
        <f t="shared" si="15"/>
        <v>-0.3481653418006142</v>
      </c>
    </row>
    <row r="53" spans="1:13" ht="15" customHeight="1" x14ac:dyDescent="0.2">
      <c r="A53" s="36">
        <v>9</v>
      </c>
      <c r="B53" s="23" t="s">
        <v>36</v>
      </c>
      <c r="C53" s="230">
        <v>23990071.370000001</v>
      </c>
      <c r="D53" s="236">
        <v>23867102.449999999</v>
      </c>
      <c r="E53" s="31">
        <v>17450956.07</v>
      </c>
      <c r="F53" s="325">
        <f t="shared" si="12"/>
        <v>0.73117195966953252</v>
      </c>
      <c r="G53" s="31">
        <v>16412390.560000001</v>
      </c>
      <c r="H53" s="325">
        <f t="shared" si="13"/>
        <v>0.68765743953975444</v>
      </c>
      <c r="I53" s="31">
        <v>3690442.52</v>
      </c>
      <c r="J53" s="199">
        <f t="shared" si="14"/>
        <v>0.15462465658457003</v>
      </c>
      <c r="K53" s="33">
        <v>1512938.63</v>
      </c>
      <c r="L53" s="55">
        <v>6.9918582188029904E-2</v>
      </c>
      <c r="M53" s="160">
        <f t="shared" si="15"/>
        <v>1.4392546047951731</v>
      </c>
    </row>
    <row r="54" spans="1:13" ht="15" customHeight="1" x14ac:dyDescent="0.2">
      <c r="A54" s="37">
        <v>10</v>
      </c>
      <c r="B54" s="25" t="s">
        <v>37</v>
      </c>
      <c r="C54" s="230">
        <v>37134721.299999997</v>
      </c>
      <c r="D54" s="236">
        <v>36979060.829999998</v>
      </c>
      <c r="E54" s="31">
        <v>30936195.510000002</v>
      </c>
      <c r="F54" s="464">
        <f t="shared" si="12"/>
        <v>0.83658683632393382</v>
      </c>
      <c r="G54" s="31">
        <v>29865777.989999998</v>
      </c>
      <c r="H54" s="464">
        <f t="shared" si="13"/>
        <v>0.80764025152771846</v>
      </c>
      <c r="I54" s="31">
        <v>3315167.59</v>
      </c>
      <c r="J54" s="466">
        <f t="shared" si="14"/>
        <v>8.9649859017255085E-2</v>
      </c>
      <c r="K54" s="35">
        <v>3461865.73</v>
      </c>
      <c r="L54" s="385">
        <v>9.4620160070634271E-2</v>
      </c>
      <c r="M54" s="161">
        <f t="shared" si="15"/>
        <v>-4.2375456312108373E-2</v>
      </c>
    </row>
    <row r="55" spans="1:13" ht="15" customHeight="1" thickBot="1" x14ac:dyDescent="0.25">
      <c r="A55" s="10">
        <v>6</v>
      </c>
      <c r="B55" s="2" t="s">
        <v>38</v>
      </c>
      <c r="C55" s="239">
        <f>SUM(C45:C54)</f>
        <v>288510281.49000001</v>
      </c>
      <c r="D55" s="239">
        <f>SUM(D45:D54)</f>
        <v>288949346.23000002</v>
      </c>
      <c r="E55" s="234">
        <f>SUM(E45:E54)</f>
        <v>227888850.98999998</v>
      </c>
      <c r="F55" s="98">
        <f t="shared" si="12"/>
        <v>0.78868097112288793</v>
      </c>
      <c r="G55" s="234">
        <f>SUM(G45:G54)</f>
        <v>218975404.66000003</v>
      </c>
      <c r="H55" s="98">
        <f t="shared" si="13"/>
        <v>0.75783318950892653</v>
      </c>
      <c r="I55" s="234">
        <f>SUM(I45:I54)</f>
        <v>20092131.469999999</v>
      </c>
      <c r="J55" s="190">
        <f t="shared" si="14"/>
        <v>6.9535133863936546E-2</v>
      </c>
      <c r="K55" s="234">
        <f>SUM(K45:K54)</f>
        <v>23949143.859999999</v>
      </c>
      <c r="L55" s="44">
        <v>8.5000000000000006E-2</v>
      </c>
      <c r="M55" s="162">
        <f t="shared" si="15"/>
        <v>-0.16105011571799877</v>
      </c>
    </row>
    <row r="56" spans="1:13" s="6" customFormat="1" ht="23.25" customHeight="1" thickBot="1" x14ac:dyDescent="0.25">
      <c r="A56" s="5"/>
      <c r="B56" s="4" t="s">
        <v>136</v>
      </c>
      <c r="C56" s="240">
        <f>+C44+C55</f>
        <v>1996110606.45</v>
      </c>
      <c r="D56" s="240">
        <f>+D44+D55</f>
        <v>2004321803.6300001</v>
      </c>
      <c r="E56" s="241">
        <f>+E44+E55</f>
        <v>1376449103</v>
      </c>
      <c r="F56" s="202">
        <f t="shared" si="12"/>
        <v>0.68674057255034182</v>
      </c>
      <c r="G56" s="241">
        <f>+G44+G55</f>
        <v>1338387070.3</v>
      </c>
      <c r="H56" s="202">
        <f t="shared" si="13"/>
        <v>0.66775059168446171</v>
      </c>
      <c r="I56" s="241">
        <f>+I44+I55</f>
        <v>239309268.11000001</v>
      </c>
      <c r="J56" s="194">
        <f t="shared" si="14"/>
        <v>0.11939662966126011</v>
      </c>
      <c r="K56" s="235">
        <f>+K55+K44</f>
        <v>240483015.48000002</v>
      </c>
      <c r="L56" s="211">
        <v>0.126</v>
      </c>
      <c r="M56" s="164">
        <f t="shared" si="15"/>
        <v>-4.8807911346970823E-3</v>
      </c>
    </row>
    <row r="61" spans="1:13" x14ac:dyDescent="0.2">
      <c r="C61" s="406"/>
      <c r="D61" s="406"/>
      <c r="E61" s="406"/>
      <c r="F61" s="535"/>
      <c r="G61" s="406"/>
      <c r="H61" s="535"/>
      <c r="I61" s="406"/>
      <c r="J61" s="535"/>
      <c r="K61" s="406"/>
    </row>
    <row r="62" spans="1:13" x14ac:dyDescent="0.2">
      <c r="C62" s="415"/>
      <c r="D62" s="415"/>
      <c r="E62" s="415"/>
      <c r="F62" s="516"/>
      <c r="G62" s="415"/>
      <c r="H62" s="516"/>
      <c r="I62" s="415"/>
      <c r="J62" s="516"/>
      <c r="K62" s="415"/>
    </row>
  </sheetData>
  <mergeCells count="5">
    <mergeCell ref="K2:L2"/>
    <mergeCell ref="K31:L31"/>
    <mergeCell ref="D2:J2"/>
    <mergeCell ref="A31:B31"/>
    <mergeCell ref="D31:J31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Febrer&amp;R&amp;"Arial,Negreta"&amp;8&amp;K03+000Direcció de Pressupostos i Política Fiscal</oddHeader>
  </headerFooter>
  <rowBreaks count="1" manualBreakCount="1"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22"/>
  <sheetViews>
    <sheetView topLeftCell="A2" zoomScaleNormal="100" workbookViewId="0">
      <selection activeCell="B22" sqref="B22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.75" thickBot="1" x14ac:dyDescent="0.3">
      <c r="A1" s="7" t="s">
        <v>436</v>
      </c>
    </row>
    <row r="2" spans="1:13" x14ac:dyDescent="0.2">
      <c r="A2" s="8" t="s">
        <v>20</v>
      </c>
      <c r="C2" s="183" t="s">
        <v>510</v>
      </c>
      <c r="D2" s="577" t="s">
        <v>552</v>
      </c>
      <c r="E2" s="575"/>
      <c r="F2" s="575"/>
      <c r="G2" s="575"/>
      <c r="H2" s="575"/>
      <c r="I2" s="575"/>
      <c r="J2" s="576"/>
      <c r="K2" s="571" t="s">
        <v>553</v>
      </c>
      <c r="L2" s="572"/>
      <c r="M2" s="228"/>
    </row>
    <row r="3" spans="1:13" x14ac:dyDescent="0.2">
      <c r="C3" s="176">
        <v>1</v>
      </c>
      <c r="D3" s="253">
        <v>2</v>
      </c>
      <c r="E3" s="251">
        <v>3</v>
      </c>
      <c r="F3" s="96" t="s">
        <v>39</v>
      </c>
      <c r="G3" s="251">
        <v>4</v>
      </c>
      <c r="H3" s="96" t="s">
        <v>40</v>
      </c>
      <c r="I3" s="251">
        <v>5</v>
      </c>
      <c r="J3" s="167" t="s">
        <v>41</v>
      </c>
      <c r="K3" s="251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7" t="s">
        <v>13</v>
      </c>
      <c r="D4" s="254" t="s">
        <v>14</v>
      </c>
      <c r="E4" s="252" t="s">
        <v>15</v>
      </c>
      <c r="F4" s="97" t="s">
        <v>18</v>
      </c>
      <c r="G4" s="252" t="s">
        <v>16</v>
      </c>
      <c r="H4" s="97" t="s">
        <v>18</v>
      </c>
      <c r="I4" s="252" t="s">
        <v>17</v>
      </c>
      <c r="J4" s="128" t="s">
        <v>18</v>
      </c>
      <c r="K4" s="252" t="s">
        <v>17</v>
      </c>
      <c r="L4" s="12" t="s">
        <v>18</v>
      </c>
      <c r="M4" s="158" t="s">
        <v>550</v>
      </c>
    </row>
    <row r="5" spans="1:13" ht="15" customHeight="1" x14ac:dyDescent="0.2">
      <c r="A5" s="21">
        <v>1</v>
      </c>
      <c r="B5" s="21" t="s">
        <v>0</v>
      </c>
      <c r="C5" s="179">
        <v>57784103.840000004</v>
      </c>
      <c r="D5" s="237">
        <v>59398384.369999997</v>
      </c>
      <c r="E5" s="33">
        <v>8724505.0600000005</v>
      </c>
      <c r="F5" s="49">
        <f>+E5/D5</f>
        <v>0.14688118460687352</v>
      </c>
      <c r="G5" s="33">
        <v>8575505.0600000005</v>
      </c>
      <c r="H5" s="49">
        <f>G5/D5</f>
        <v>0.14437269886975548</v>
      </c>
      <c r="I5" s="33">
        <v>8512576.9499999993</v>
      </c>
      <c r="J5" s="172">
        <f>I5/D5</f>
        <v>0.14331327426305215</v>
      </c>
      <c r="K5" s="31">
        <v>8415229.1900000013</v>
      </c>
      <c r="L5" s="53">
        <v>0.14587669581313342</v>
      </c>
      <c r="M5" s="242">
        <f>+I5/K5-1</f>
        <v>1.1568046193641157E-2</v>
      </c>
    </row>
    <row r="6" spans="1:13" ht="15" customHeight="1" x14ac:dyDescent="0.2">
      <c r="A6" s="23">
        <v>2</v>
      </c>
      <c r="B6" s="23" t="s">
        <v>1</v>
      </c>
      <c r="C6" s="179">
        <v>69877823.049999997</v>
      </c>
      <c r="D6" s="237">
        <v>69859996.049999997</v>
      </c>
      <c r="E6" s="33">
        <v>47790007.590000004</v>
      </c>
      <c r="F6" s="49">
        <f>+E6/D6</f>
        <v>0.68408259794054205</v>
      </c>
      <c r="G6" s="33">
        <v>36525385.390000001</v>
      </c>
      <c r="H6" s="49">
        <f>G6/D6</f>
        <v>0.52283692320649655</v>
      </c>
      <c r="I6" s="33">
        <v>4453201.7</v>
      </c>
      <c r="J6" s="172">
        <f>I6/D6</f>
        <v>6.3744660059997252E-2</v>
      </c>
      <c r="K6" s="33">
        <v>4454607.13</v>
      </c>
      <c r="L6" s="55">
        <v>6.6976835898259285E-2</v>
      </c>
      <c r="M6" s="243">
        <f>+I6/K6-1</f>
        <v>-3.1550032561455943E-4</v>
      </c>
    </row>
    <row r="7" spans="1:13" ht="15" customHeight="1" x14ac:dyDescent="0.2">
      <c r="A7" s="23">
        <v>3</v>
      </c>
      <c r="B7" s="23" t="s">
        <v>2</v>
      </c>
      <c r="C7" s="179"/>
      <c r="D7" s="237"/>
      <c r="E7" s="33"/>
      <c r="F7" s="389" t="s">
        <v>135</v>
      </c>
      <c r="G7" s="33"/>
      <c r="H7" s="49" t="s">
        <v>135</v>
      </c>
      <c r="I7" s="33"/>
      <c r="J7" s="172" t="s">
        <v>135</v>
      </c>
      <c r="K7" s="33"/>
      <c r="L7" s="55" t="s">
        <v>135</v>
      </c>
      <c r="M7" s="244" t="s">
        <v>135</v>
      </c>
    </row>
    <row r="8" spans="1:13" ht="15" customHeight="1" x14ac:dyDescent="0.2">
      <c r="A8" s="25">
        <v>4</v>
      </c>
      <c r="B8" s="25" t="s">
        <v>3</v>
      </c>
      <c r="C8" s="179">
        <v>54620430.890000001</v>
      </c>
      <c r="D8" s="237">
        <v>61914757.890000001</v>
      </c>
      <c r="E8" s="33">
        <v>52243314.399999999</v>
      </c>
      <c r="F8" s="86">
        <f>+E8/D8</f>
        <v>0.84379421288891032</v>
      </c>
      <c r="G8" s="33">
        <v>48325770.280000001</v>
      </c>
      <c r="H8" s="464">
        <f>G8/D8</f>
        <v>0.78052102482347285</v>
      </c>
      <c r="I8" s="33">
        <v>9257217.9900000002</v>
      </c>
      <c r="J8" s="466">
        <f>I8/D8</f>
        <v>0.14951553241065255</v>
      </c>
      <c r="K8" s="35">
        <v>10962340.58</v>
      </c>
      <c r="L8" s="385">
        <v>0.20394662792968485</v>
      </c>
      <c r="M8" s="539">
        <f>+I8/K8-1</f>
        <v>-0.15554366127894925</v>
      </c>
    </row>
    <row r="9" spans="1:13" ht="15" customHeight="1" x14ac:dyDescent="0.2">
      <c r="A9" s="9"/>
      <c r="B9" s="2" t="s">
        <v>4</v>
      </c>
      <c r="C9" s="181">
        <f>SUM(C5:C8)</f>
        <v>182282357.78</v>
      </c>
      <c r="D9" s="171">
        <f t="shared" ref="D9:G9" si="0">SUM(D5:D8)</f>
        <v>191173138.31</v>
      </c>
      <c r="E9" s="92">
        <f t="shared" si="0"/>
        <v>108757827.05000001</v>
      </c>
      <c r="F9" s="98">
        <f>+E9/D9</f>
        <v>0.56889701142867644</v>
      </c>
      <c r="G9" s="92">
        <f t="shared" si="0"/>
        <v>93426660.730000004</v>
      </c>
      <c r="H9" s="98">
        <f>G9/D9</f>
        <v>0.48870182053768685</v>
      </c>
      <c r="I9" s="92">
        <f>SUM(I5:I8)</f>
        <v>22222996.640000001</v>
      </c>
      <c r="J9" s="190">
        <f>I9/D9</f>
        <v>0.11624539324119861</v>
      </c>
      <c r="K9" s="92">
        <f>SUM(K5:K8)</f>
        <v>23832176.899999999</v>
      </c>
      <c r="L9" s="44">
        <v>0.13400000000000001</v>
      </c>
      <c r="M9" s="162">
        <f>+I9/K9-1</f>
        <v>-6.752132911534392E-2</v>
      </c>
    </row>
    <row r="10" spans="1:13" ht="15" customHeight="1" x14ac:dyDescent="0.2">
      <c r="A10" s="89">
        <v>6</v>
      </c>
      <c r="B10" s="89" t="s">
        <v>5</v>
      </c>
      <c r="C10" s="179">
        <v>5332708.5599999996</v>
      </c>
      <c r="D10" s="237">
        <v>7795213.9199999999</v>
      </c>
      <c r="E10" s="33">
        <v>5431986.7000000002</v>
      </c>
      <c r="F10" s="281">
        <f>+E10/D10</f>
        <v>0.69683612993137722</v>
      </c>
      <c r="G10" s="90">
        <v>5097701.3499999996</v>
      </c>
      <c r="H10" s="419">
        <f t="shared" ref="H10:H11" si="1">G10/D10</f>
        <v>0.65395272051751463</v>
      </c>
      <c r="I10" s="90">
        <v>5446.82</v>
      </c>
      <c r="J10" s="522">
        <f t="shared" ref="J10:J11" si="2">I10/D10</f>
        <v>6.9873900266228996E-4</v>
      </c>
      <c r="K10"/>
      <c r="L10"/>
      <c r="M10" s="287"/>
    </row>
    <row r="11" spans="1:13" ht="15" customHeight="1" x14ac:dyDescent="0.2">
      <c r="A11" s="59">
        <v>7</v>
      </c>
      <c r="B11" s="59" t="s">
        <v>6</v>
      </c>
      <c r="C11" s="179">
        <v>0</v>
      </c>
      <c r="D11" s="237">
        <v>1175000</v>
      </c>
      <c r="E11" s="33">
        <v>1175000</v>
      </c>
      <c r="F11" s="281">
        <f>+E11/D11</f>
        <v>1</v>
      </c>
      <c r="G11" s="60">
        <v>1175000</v>
      </c>
      <c r="H11" s="282">
        <f t="shared" si="1"/>
        <v>1</v>
      </c>
      <c r="I11" s="60">
        <v>0</v>
      </c>
      <c r="J11" s="225">
        <f t="shared" si="2"/>
        <v>0</v>
      </c>
      <c r="K11"/>
      <c r="L11"/>
      <c r="M11" s="287"/>
    </row>
    <row r="12" spans="1:13" ht="15" customHeight="1" x14ac:dyDescent="0.2">
      <c r="A12" s="9"/>
      <c r="B12" s="2" t="s">
        <v>7</v>
      </c>
      <c r="C12" s="181">
        <f>SUM(C10:C11)</f>
        <v>5332708.5599999996</v>
      </c>
      <c r="D12" s="171">
        <f t="shared" ref="D12:I12" si="3">SUM(D10:D11)</f>
        <v>8970213.9199999999</v>
      </c>
      <c r="E12" s="92">
        <f t="shared" si="3"/>
        <v>6606986.7000000002</v>
      </c>
      <c r="F12" s="98">
        <f>+E12/D12</f>
        <v>0.73654728403623182</v>
      </c>
      <c r="G12" s="92">
        <f t="shared" si="3"/>
        <v>6272701.3499999996</v>
      </c>
      <c r="H12" s="98">
        <f>G12/D12</f>
        <v>0.69928113263992253</v>
      </c>
      <c r="I12" s="92">
        <f t="shared" si="3"/>
        <v>5446.82</v>
      </c>
      <c r="J12" s="190">
        <f>I12/D12</f>
        <v>6.072118289014004E-4</v>
      </c>
      <c r="K12" s="92"/>
      <c r="L12" s="44"/>
      <c r="M12" s="246"/>
    </row>
    <row r="13" spans="1:13" ht="15" customHeight="1" x14ac:dyDescent="0.2">
      <c r="A13" s="21">
        <v>8</v>
      </c>
      <c r="B13" s="21" t="s">
        <v>8</v>
      </c>
      <c r="C13" s="178"/>
      <c r="D13" s="236"/>
      <c r="E13" s="31"/>
      <c r="F13" s="94" t="s">
        <v>135</v>
      </c>
      <c r="G13" s="31"/>
      <c r="H13" s="94" t="s">
        <v>135</v>
      </c>
      <c r="I13" s="31"/>
      <c r="J13" s="255" t="s">
        <v>135</v>
      </c>
      <c r="K13" s="31"/>
      <c r="L13" s="57" t="s">
        <v>135</v>
      </c>
      <c r="M13" s="247" t="s">
        <v>135</v>
      </c>
    </row>
    <row r="14" spans="1:13" ht="15" customHeight="1" x14ac:dyDescent="0.2">
      <c r="A14" s="25">
        <v>9</v>
      </c>
      <c r="B14" s="25" t="s">
        <v>9</v>
      </c>
      <c r="C14" s="180"/>
      <c r="D14" s="238"/>
      <c r="E14" s="35"/>
      <c r="F14" s="50" t="s">
        <v>135</v>
      </c>
      <c r="G14" s="35"/>
      <c r="H14" s="50" t="s">
        <v>135</v>
      </c>
      <c r="I14" s="35"/>
      <c r="J14" s="256" t="s">
        <v>135</v>
      </c>
      <c r="K14" s="35"/>
      <c r="L14" s="56" t="s">
        <v>135</v>
      </c>
      <c r="M14" s="248" t="s">
        <v>135</v>
      </c>
    </row>
    <row r="15" spans="1:13" ht="15" customHeight="1" thickBot="1" x14ac:dyDescent="0.25">
      <c r="A15" s="9"/>
      <c r="B15" s="2" t="s">
        <v>10</v>
      </c>
      <c r="C15" s="181">
        <f>SUM(C13:C14)</f>
        <v>0</v>
      </c>
      <c r="D15" s="171">
        <f t="shared" ref="D15:I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7" t="s">
        <v>135</v>
      </c>
      <c r="K15" s="92">
        <f>SUM(K13:K14)</f>
        <v>0</v>
      </c>
      <c r="L15" s="107" t="s">
        <v>135</v>
      </c>
      <c r="M15" s="249" t="s">
        <v>135</v>
      </c>
    </row>
    <row r="16" spans="1:13" s="6" customFormat="1" ht="19.5" customHeight="1" thickBot="1" x14ac:dyDescent="0.25">
      <c r="A16" s="5"/>
      <c r="B16" s="4" t="s">
        <v>11</v>
      </c>
      <c r="C16" s="182">
        <f>+C9+C12+C15</f>
        <v>187615066.34</v>
      </c>
      <c r="D16" s="173">
        <f>+D9+D12+D15</f>
        <v>200143352.22999999</v>
      </c>
      <c r="E16" s="174">
        <f t="shared" ref="E16:I16" si="5">+E9+E12+E15</f>
        <v>115364813.75000001</v>
      </c>
      <c r="F16" s="202">
        <f>+E16/D16</f>
        <v>0.57641091979625436</v>
      </c>
      <c r="G16" s="174">
        <f t="shared" si="5"/>
        <v>99699362.079999998</v>
      </c>
      <c r="H16" s="202">
        <f>G16/D16</f>
        <v>0.49813976317048919</v>
      </c>
      <c r="I16" s="174">
        <f t="shared" si="5"/>
        <v>22228443.460000001</v>
      </c>
      <c r="J16" s="194">
        <f>I16/D16</f>
        <v>0.11106261193454781</v>
      </c>
      <c r="K16" s="165">
        <f>K9+K12+K15</f>
        <v>23832176.899999999</v>
      </c>
      <c r="L16" s="211">
        <v>0.126</v>
      </c>
      <c r="M16" s="250">
        <f>+I16/K16-1</f>
        <v>-6.7292780123665352E-2</v>
      </c>
    </row>
    <row r="17" spans="4:10" x14ac:dyDescent="0.2">
      <c r="F17" s="536"/>
      <c r="H17" s="536"/>
      <c r="J17" s="536"/>
    </row>
    <row r="18" spans="4:10" x14ac:dyDescent="0.2">
      <c r="F18" s="536"/>
      <c r="H18" s="536"/>
    </row>
    <row r="22" spans="4:10" x14ac:dyDescent="0.2">
      <c r="D22" s="201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Febrer
&amp;R&amp;"Arial,Negreta"&amp;8&amp;K03+000Direcció de Pressupostos i Política Fiscal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20</vt:i4>
      </vt:variant>
      <vt:variant>
        <vt:lpstr>Intervals amb nom</vt:lpstr>
      </vt:variant>
      <vt:variant>
        <vt:i4>15</vt:i4>
      </vt:variant>
    </vt:vector>
  </HeadingPairs>
  <TitlesOfParts>
    <vt:vector size="35" baseType="lpstr">
      <vt:lpstr>Indicadors</vt:lpstr>
      <vt:lpstr>ICap </vt:lpstr>
      <vt:lpstr>IDetallCorrent</vt:lpstr>
      <vt:lpstr>IDetallCapital</vt:lpstr>
      <vt:lpstr>DCap</vt:lpstr>
      <vt:lpstr>DDetallCorrent</vt:lpstr>
      <vt:lpstr>DProg</vt:lpstr>
      <vt:lpstr>DOrg</vt:lpstr>
      <vt:lpstr>DCap 01</vt:lpstr>
      <vt:lpstr>DCap 02</vt:lpstr>
      <vt:lpstr>DCap 04</vt:lpstr>
      <vt:lpstr>DCap 0501</vt:lpstr>
      <vt:lpstr>DCap 0502</vt:lpstr>
      <vt:lpstr>DCap 0503</vt:lpstr>
      <vt:lpstr>DCap 0504</vt:lpstr>
      <vt:lpstr>DCap 07</vt:lpstr>
      <vt:lpstr>DCap 0703</vt:lpstr>
      <vt:lpstr>DCap 08</vt:lpstr>
      <vt:lpstr>DCap 06</vt:lpstr>
      <vt:lpstr>Full de control</vt:lpstr>
      <vt:lpstr>DDetallCorrent!Àrea_d'impressió</vt:lpstr>
      <vt:lpstr>DOrg!Àrea_d'impressió</vt:lpstr>
      <vt:lpstr>DProg!Àrea_d'impressió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Lopez, Christian</dc:creator>
  <cp:lastModifiedBy>Ajuntament de Barcelona</cp:lastModifiedBy>
  <cp:lastPrinted>2015-03-30T13:33:03Z</cp:lastPrinted>
  <dcterms:created xsi:type="dcterms:W3CDTF">2011-01-04T08:57:13Z</dcterms:created>
  <dcterms:modified xsi:type="dcterms:W3CDTF">2015-03-30T13:48:49Z</dcterms:modified>
</cp:coreProperties>
</file>