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16" windowHeight="10416" tabRatio="700" firstSheet="2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6" l="1"/>
  <c r="Y20" i="6"/>
  <c r="G20" i="6"/>
  <c r="I20" i="6"/>
  <c r="J20" i="6"/>
  <c r="I19" i="6"/>
  <c r="J19" i="6"/>
  <c r="O21" i="6"/>
  <c r="N21" i="6"/>
  <c r="O20" i="6"/>
  <c r="N20" i="6"/>
  <c r="D20" i="6"/>
  <c r="Y18" i="6"/>
  <c r="X18" i="6"/>
  <c r="J13" i="6"/>
  <c r="I13" i="6"/>
  <c r="Y20" i="5"/>
  <c r="X20" i="5" s="1"/>
  <c r="O21" i="5"/>
  <c r="N21" i="5" s="1"/>
  <c r="O20" i="5"/>
  <c r="N20" i="5" s="1"/>
  <c r="J21" i="5"/>
  <c r="I21" i="5" s="1"/>
  <c r="I20" i="5"/>
  <c r="J20" i="5"/>
  <c r="I19" i="5"/>
  <c r="J19" i="5"/>
  <c r="I13" i="5"/>
  <c r="X20" i="4"/>
  <c r="N21" i="4"/>
  <c r="N20" i="4"/>
  <c r="I21" i="4"/>
  <c r="I20" i="4"/>
  <c r="I19" i="4"/>
  <c r="J19" i="4"/>
  <c r="X18" i="4"/>
  <c r="X18" i="1"/>
  <c r="X20" i="1"/>
  <c r="B34" i="1"/>
  <c r="N21" i="1"/>
  <c r="J19" i="1"/>
  <c r="I19" i="1" s="1"/>
  <c r="G19" i="1"/>
  <c r="J20" i="1"/>
  <c r="I20" i="1" s="1"/>
  <c r="J13" i="1"/>
  <c r="I13" i="1" s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 s="1"/>
  <c r="J23" i="7"/>
  <c r="K23" i="7" s="1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F13" i="7" s="1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K15" i="7" s="1"/>
  <c r="O15" i="7"/>
  <c r="E15" i="7"/>
  <c r="T15" i="7"/>
  <c r="U15" i="7" s="1"/>
  <c r="Y15" i="7"/>
  <c r="Z15" i="7" s="1"/>
  <c r="AD15" i="7"/>
  <c r="AE15" i="7" s="1"/>
  <c r="J16" i="7"/>
  <c r="K16" i="7" s="1"/>
  <c r="O16" i="7"/>
  <c r="P16" i="7" s="1"/>
  <c r="E16" i="7"/>
  <c r="F16" i="7" s="1"/>
  <c r="T16" i="7"/>
  <c r="Y16" i="7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AD18" i="7"/>
  <c r="E18" i="7"/>
  <c r="F18" i="7" s="1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/>
  <c r="AA16" i="7"/>
  <c r="AB16" i="7" s="1"/>
  <c r="B13" i="7"/>
  <c r="C13" i="7" s="1"/>
  <c r="G13" i="7"/>
  <c r="L13" i="7"/>
  <c r="Q13" i="7"/>
  <c r="R13" i="7" s="1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 s="1"/>
  <c r="AA14" i="7"/>
  <c r="AB14" i="7" s="1"/>
  <c r="G15" i="7"/>
  <c r="H15" i="7" s="1"/>
  <c r="L15" i="7"/>
  <c r="M15" i="7" s="1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G18" i="7"/>
  <c r="L18" i="7"/>
  <c r="AA18" i="7"/>
  <c r="B18" i="7"/>
  <c r="C18" i="7" s="1"/>
  <c r="Q18" i="7"/>
  <c r="R18" i="7" s="1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J25" i="6"/>
  <c r="O35" i="6" s="1"/>
  <c r="E25" i="6"/>
  <c r="O25" i="6"/>
  <c r="O36" i="6" s="1"/>
  <c r="Y25" i="6"/>
  <c r="O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/>
  <c r="AC25" i="6"/>
  <c r="N39" i="6" s="1"/>
  <c r="G25" i="6"/>
  <c r="L35" i="6" s="1"/>
  <c r="H15" i="6"/>
  <c r="B25" i="6"/>
  <c r="L25" i="6"/>
  <c r="L36" i="6" s="1"/>
  <c r="V25" i="6"/>
  <c r="L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F37" i="6" s="1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B34" i="6"/>
  <c r="B35" i="6"/>
  <c r="B36" i="6"/>
  <c r="C36" i="6" s="1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M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9" i="4"/>
  <c r="Y25" i="4"/>
  <c r="Z18" i="4" s="1"/>
  <c r="Z20" i="4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/>
  <c r="U14" i="4"/>
  <c r="U15" i="4"/>
  <c r="U25" i="4" s="1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21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7" i="1"/>
  <c r="Z16" i="1"/>
  <c r="Z15" i="1"/>
  <c r="Z14" i="1"/>
  <c r="W24" i="1"/>
  <c r="W21" i="1"/>
  <c r="W19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F35" i="1" s="1"/>
  <c r="E36" i="1"/>
  <c r="F36" i="1" s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41" i="1"/>
  <c r="B35" i="1"/>
  <c r="C35" i="1" s="1"/>
  <c r="B36" i="1"/>
  <c r="C36" i="1" s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O34" i="6"/>
  <c r="F22" i="6"/>
  <c r="L34" i="6"/>
  <c r="C22" i="6"/>
  <c r="F45" i="1"/>
  <c r="M18" i="6"/>
  <c r="M13" i="6"/>
  <c r="P19" i="6"/>
  <c r="P14" i="6"/>
  <c r="Z21" i="6"/>
  <c r="H22" i="6"/>
  <c r="K22" i="6"/>
  <c r="M13" i="5"/>
  <c r="H22" i="5"/>
  <c r="O38" i="5"/>
  <c r="O35" i="5"/>
  <c r="K22" i="5"/>
  <c r="M14" i="4"/>
  <c r="H19" i="4"/>
  <c r="H22" i="4"/>
  <c r="K13" i="4"/>
  <c r="K22" i="4"/>
  <c r="Z21" i="4"/>
  <c r="F20" i="1"/>
  <c r="O34" i="1"/>
  <c r="P34" i="1" s="1"/>
  <c r="F13" i="1"/>
  <c r="C13" i="1"/>
  <c r="K21" i="1"/>
  <c r="H16" i="1"/>
  <c r="H20" i="1"/>
  <c r="H14" i="1"/>
  <c r="H18" i="1"/>
  <c r="H24" i="1"/>
  <c r="C20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K13" i="6"/>
  <c r="F13" i="6"/>
  <c r="W19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20" i="5"/>
  <c r="K19" i="5"/>
  <c r="K20" i="5"/>
  <c r="C14" i="5"/>
  <c r="C13" i="5"/>
  <c r="F23" i="7"/>
  <c r="F43" i="5"/>
  <c r="AE21" i="5"/>
  <c r="AE20" i="5"/>
  <c r="C20" i="5"/>
  <c r="F21" i="5"/>
  <c r="F20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W17" i="4"/>
  <c r="O38" i="4"/>
  <c r="Z17" i="4"/>
  <c r="C18" i="4"/>
  <c r="C20" i="4"/>
  <c r="H13" i="4"/>
  <c r="M13" i="4"/>
  <c r="O36" i="4"/>
  <c r="P18" i="7"/>
  <c r="L35" i="4"/>
  <c r="F43" i="4"/>
  <c r="C24" i="7"/>
  <c r="F37" i="4"/>
  <c r="Z16" i="7"/>
  <c r="F43" i="1"/>
  <c r="F44" i="1"/>
  <c r="F24" i="7"/>
  <c r="C22" i="7"/>
  <c r="C44" i="1"/>
  <c r="F15" i="7"/>
  <c r="F22" i="7"/>
  <c r="C39" i="5"/>
  <c r="C43" i="5"/>
  <c r="P37" i="5"/>
  <c r="C45" i="1"/>
  <c r="K24" i="7"/>
  <c r="C37" i="6"/>
  <c r="C35" i="6"/>
  <c r="F35" i="6"/>
  <c r="U13" i="7"/>
  <c r="U16" i="7"/>
  <c r="F45" i="6"/>
  <c r="C45" i="5"/>
  <c r="F39" i="5"/>
  <c r="F45" i="5"/>
  <c r="R16" i="7"/>
  <c r="C36" i="5"/>
  <c r="C37" i="5"/>
  <c r="F36" i="5"/>
  <c r="F37" i="5"/>
  <c r="C35" i="5"/>
  <c r="F21" i="7"/>
  <c r="F14" i="7"/>
  <c r="Z21" i="7"/>
  <c r="AE17" i="7"/>
  <c r="F35" i="4"/>
  <c r="F36" i="4"/>
  <c r="K18" i="7"/>
  <c r="C38" i="4"/>
  <c r="C35" i="4"/>
  <c r="F38" i="4"/>
  <c r="C45" i="4"/>
  <c r="K14" i="7"/>
  <c r="AB17" i="7"/>
  <c r="C14" i="7"/>
  <c r="M19" i="7"/>
  <c r="C34" i="4"/>
  <c r="M18" i="7"/>
  <c r="P15" i="7"/>
  <c r="P14" i="7"/>
  <c r="P19" i="7"/>
  <c r="H24" i="7"/>
  <c r="M34" i="4"/>
  <c r="W18" i="6" l="1"/>
  <c r="W25" i="6" s="1"/>
  <c r="W20" i="6"/>
  <c r="K20" i="6"/>
  <c r="K25" i="6" s="1"/>
  <c r="H19" i="6"/>
  <c r="H20" i="6"/>
  <c r="P20" i="6"/>
  <c r="P25" i="6" s="1"/>
  <c r="M20" i="6"/>
  <c r="C20" i="7"/>
  <c r="Z18" i="6"/>
  <c r="Z25" i="6" s="1"/>
  <c r="H13" i="6"/>
  <c r="H13" i="5"/>
  <c r="D45" i="7"/>
  <c r="R25" i="5"/>
  <c r="AE25" i="4"/>
  <c r="V25" i="7"/>
  <c r="L39" i="7" s="1"/>
  <c r="M39" i="7" s="1"/>
  <c r="C25" i="4"/>
  <c r="F25" i="4"/>
  <c r="AB25" i="5"/>
  <c r="L35" i="5"/>
  <c r="AB25" i="4"/>
  <c r="U25" i="5"/>
  <c r="AE25" i="5"/>
  <c r="F25" i="6"/>
  <c r="M25" i="6"/>
  <c r="R25" i="4"/>
  <c r="R25" i="6"/>
  <c r="AB25" i="6"/>
  <c r="AE25" i="6"/>
  <c r="B46" i="6"/>
  <c r="D46" i="6"/>
  <c r="E46" i="6"/>
  <c r="F42" i="6" s="1"/>
  <c r="K20" i="1"/>
  <c r="Z25" i="5"/>
  <c r="W20" i="5"/>
  <c r="W25" i="5" s="1"/>
  <c r="P21" i="5"/>
  <c r="M25" i="5"/>
  <c r="P20" i="5"/>
  <c r="K25" i="5"/>
  <c r="H21" i="5"/>
  <c r="H25" i="5" s="1"/>
  <c r="E46" i="5"/>
  <c r="F42" i="5" s="1"/>
  <c r="B46" i="5"/>
  <c r="C41" i="5" s="1"/>
  <c r="D46" i="5"/>
  <c r="W20" i="4"/>
  <c r="P20" i="4"/>
  <c r="P25" i="4" s="1"/>
  <c r="M21" i="4"/>
  <c r="M20" i="4"/>
  <c r="K21" i="4"/>
  <c r="D46" i="4"/>
  <c r="K20" i="4"/>
  <c r="K19" i="4"/>
  <c r="C41" i="4"/>
  <c r="H25" i="4"/>
  <c r="E46" i="4"/>
  <c r="F41" i="4" s="1"/>
  <c r="Z25" i="4"/>
  <c r="W18" i="4"/>
  <c r="O40" i="4"/>
  <c r="P35" i="4" s="1"/>
  <c r="P34" i="4"/>
  <c r="F34" i="4"/>
  <c r="F35" i="5"/>
  <c r="C25" i="5"/>
  <c r="T25" i="7"/>
  <c r="O37" i="7" s="1"/>
  <c r="U25" i="6"/>
  <c r="C25" i="6"/>
  <c r="F36" i="6"/>
  <c r="B41" i="7"/>
  <c r="O40" i="6"/>
  <c r="P35" i="6" s="1"/>
  <c r="B46" i="4"/>
  <c r="C42" i="4" s="1"/>
  <c r="F25" i="5"/>
  <c r="W18" i="1"/>
  <c r="O36" i="1"/>
  <c r="P20" i="1"/>
  <c r="M21" i="1"/>
  <c r="M20" i="1"/>
  <c r="M13" i="1"/>
  <c r="D39" i="7"/>
  <c r="D38" i="7"/>
  <c r="D35" i="7"/>
  <c r="S25" i="7"/>
  <c r="N37" i="7" s="1"/>
  <c r="B39" i="7"/>
  <c r="E43" i="7"/>
  <c r="F43" i="7" s="1"/>
  <c r="H18" i="7"/>
  <c r="Q25" i="7"/>
  <c r="L37" i="7" s="1"/>
  <c r="M37" i="7" s="1"/>
  <c r="P13" i="1"/>
  <c r="D40" i="7"/>
  <c r="D36" i="7"/>
  <c r="AB25" i="1"/>
  <c r="E40" i="7"/>
  <c r="E38" i="7"/>
  <c r="F38" i="7" s="1"/>
  <c r="D44" i="7"/>
  <c r="C25" i="1"/>
  <c r="E25" i="7"/>
  <c r="O34" i="7" s="1"/>
  <c r="X25" i="7"/>
  <c r="N39" i="7" s="1"/>
  <c r="D37" i="7"/>
  <c r="D25" i="7"/>
  <c r="N34" i="7" s="1"/>
  <c r="K13" i="1"/>
  <c r="O35" i="1"/>
  <c r="F25" i="1"/>
  <c r="B35" i="7"/>
  <c r="C35" i="7" s="1"/>
  <c r="Y25" i="7"/>
  <c r="O39" i="7" s="1"/>
  <c r="P39" i="7" s="1"/>
  <c r="E42" i="7"/>
  <c r="B38" i="7"/>
  <c r="C38" i="7" s="1"/>
  <c r="B25" i="7"/>
  <c r="L34" i="7" s="1"/>
  <c r="AE21" i="7"/>
  <c r="E45" i="7"/>
  <c r="F45" i="7" s="1"/>
  <c r="E37" i="7"/>
  <c r="F37" i="7" s="1"/>
  <c r="Z14" i="7"/>
  <c r="Z25" i="7" s="1"/>
  <c r="R25" i="1"/>
  <c r="Z20" i="1"/>
  <c r="M14" i="7"/>
  <c r="D34" i="7"/>
  <c r="B36" i="7"/>
  <c r="C36" i="7" s="1"/>
  <c r="N25" i="7"/>
  <c r="N36" i="7" s="1"/>
  <c r="E35" i="7"/>
  <c r="F35" i="7" s="1"/>
  <c r="B37" i="7"/>
  <c r="C37" i="7" s="1"/>
  <c r="L36" i="1"/>
  <c r="W25" i="7"/>
  <c r="B43" i="7"/>
  <c r="C43" i="7" s="1"/>
  <c r="E36" i="7"/>
  <c r="F36" i="7" s="1"/>
  <c r="U25" i="1"/>
  <c r="AA25" i="7"/>
  <c r="AB20" i="7" s="1"/>
  <c r="O25" i="7"/>
  <c r="P21" i="7" s="1"/>
  <c r="R25" i="7"/>
  <c r="AE25" i="1"/>
  <c r="B40" i="7"/>
  <c r="AC25" i="7"/>
  <c r="N38" i="7" s="1"/>
  <c r="D42" i="7"/>
  <c r="E34" i="7"/>
  <c r="D43" i="7"/>
  <c r="B44" i="7"/>
  <c r="C44" i="7" s="1"/>
  <c r="C15" i="7"/>
  <c r="C25" i="7" s="1"/>
  <c r="B45" i="7"/>
  <c r="C45" i="7" s="1"/>
  <c r="Z18" i="1"/>
  <c r="B42" i="7"/>
  <c r="E39" i="7"/>
  <c r="AD25" i="7"/>
  <c r="AE20" i="7" s="1"/>
  <c r="W20" i="1"/>
  <c r="W25" i="1" s="1"/>
  <c r="D41" i="7"/>
  <c r="L25" i="7"/>
  <c r="M20" i="7" s="1"/>
  <c r="D46" i="1"/>
  <c r="H19" i="1"/>
  <c r="H25" i="1" s="1"/>
  <c r="G25" i="7"/>
  <c r="H21" i="7" s="1"/>
  <c r="I25" i="7"/>
  <c r="N35" i="7" s="1"/>
  <c r="E46" i="1"/>
  <c r="F41" i="1" s="1"/>
  <c r="E41" i="7"/>
  <c r="K25" i="1"/>
  <c r="L35" i="1"/>
  <c r="J25" i="7"/>
  <c r="B46" i="1"/>
  <c r="B34" i="7"/>
  <c r="N40" i="1"/>
  <c r="P37" i="7"/>
  <c r="N40" i="6"/>
  <c r="N40" i="5"/>
  <c r="N40" i="4"/>
  <c r="M34" i="5"/>
  <c r="L40" i="5"/>
  <c r="M35" i="5" s="1"/>
  <c r="P34" i="5"/>
  <c r="O40" i="5"/>
  <c r="U25" i="7"/>
  <c r="L40" i="4"/>
  <c r="M35" i="4" s="1"/>
  <c r="L40" i="6"/>
  <c r="M34" i="6" s="1"/>
  <c r="M36" i="6"/>
  <c r="E44" i="7"/>
  <c r="F34" i="6" l="1"/>
  <c r="F40" i="6"/>
  <c r="H25" i="6"/>
  <c r="C41" i="6"/>
  <c r="C40" i="6"/>
  <c r="C42" i="6"/>
  <c r="P34" i="6"/>
  <c r="P36" i="6"/>
  <c r="F41" i="6"/>
  <c r="F20" i="7"/>
  <c r="F25" i="7" s="1"/>
  <c r="F39" i="6"/>
  <c r="P38" i="6"/>
  <c r="M35" i="6"/>
  <c r="M38" i="6"/>
  <c r="C34" i="6"/>
  <c r="C39" i="6"/>
  <c r="P25" i="5"/>
  <c r="F42" i="4"/>
  <c r="M25" i="4"/>
  <c r="P35" i="5"/>
  <c r="P38" i="5"/>
  <c r="M38" i="5"/>
  <c r="P36" i="5"/>
  <c r="M36" i="5"/>
  <c r="C42" i="5"/>
  <c r="F34" i="5"/>
  <c r="F41" i="5"/>
  <c r="F40" i="5"/>
  <c r="C40" i="5"/>
  <c r="C34" i="5"/>
  <c r="W25" i="4"/>
  <c r="M36" i="4"/>
  <c r="M38" i="4"/>
  <c r="P36" i="4"/>
  <c r="O35" i="7"/>
  <c r="K21" i="7"/>
  <c r="K25" i="4"/>
  <c r="P38" i="4"/>
  <c r="F39" i="4"/>
  <c r="F40" i="4"/>
  <c r="C39" i="4"/>
  <c r="C40" i="4"/>
  <c r="Z25" i="1"/>
  <c r="P20" i="7"/>
  <c r="M25" i="1"/>
  <c r="P25" i="1"/>
  <c r="O40" i="1"/>
  <c r="P38" i="1" s="1"/>
  <c r="C42" i="1"/>
  <c r="C34" i="1"/>
  <c r="L40" i="1"/>
  <c r="M38" i="1" s="1"/>
  <c r="B46" i="7"/>
  <c r="C39" i="7" s="1"/>
  <c r="P13" i="7"/>
  <c r="P25" i="7" s="1"/>
  <c r="N40" i="7"/>
  <c r="D46" i="7"/>
  <c r="F39" i="1"/>
  <c r="O38" i="7"/>
  <c r="O36" i="7"/>
  <c r="L38" i="7"/>
  <c r="AB18" i="7"/>
  <c r="AB25" i="7" s="1"/>
  <c r="AE18" i="7"/>
  <c r="AE25" i="7" s="1"/>
  <c r="C39" i="1"/>
  <c r="F42" i="1"/>
  <c r="M21" i="7"/>
  <c r="L36" i="7"/>
  <c r="M13" i="7"/>
  <c r="K19" i="7"/>
  <c r="F34" i="1"/>
  <c r="F40" i="1"/>
  <c r="C41" i="1"/>
  <c r="C40" i="1"/>
  <c r="H20" i="7"/>
  <c r="H19" i="7"/>
  <c r="H13" i="7"/>
  <c r="L35" i="7"/>
  <c r="K20" i="7"/>
  <c r="K13" i="7"/>
  <c r="F44" i="7"/>
  <c r="E46" i="7"/>
  <c r="F42" i="7" s="1"/>
  <c r="P40" i="6" l="1"/>
  <c r="F46" i="6"/>
  <c r="M40" i="6"/>
  <c r="C46" i="6"/>
  <c r="M40" i="5"/>
  <c r="P40" i="5"/>
  <c r="F46" i="5"/>
  <c r="C46" i="5"/>
  <c r="M40" i="4"/>
  <c r="P40" i="4"/>
  <c r="C46" i="4"/>
  <c r="F46" i="4"/>
  <c r="P36" i="1"/>
  <c r="P35" i="1"/>
  <c r="P40" i="1" s="1"/>
  <c r="M25" i="7"/>
  <c r="O40" i="7"/>
  <c r="C41" i="7"/>
  <c r="C40" i="7"/>
  <c r="M36" i="1"/>
  <c r="C34" i="7"/>
  <c r="C42" i="7"/>
  <c r="M35" i="1"/>
  <c r="L40" i="7"/>
  <c r="H25" i="7"/>
  <c r="F39" i="7"/>
  <c r="C46" i="1"/>
  <c r="F34" i="7"/>
  <c r="F40" i="7"/>
  <c r="K25" i="7"/>
  <c r="F46" i="1"/>
  <c r="F41" i="7"/>
  <c r="P36" i="7" l="1"/>
  <c r="P34" i="7"/>
  <c r="M38" i="7"/>
  <c r="M34" i="7"/>
  <c r="M40" i="1"/>
  <c r="P35" i="7"/>
  <c r="P38" i="7"/>
  <c r="M36" i="7"/>
  <c r="C46" i="7"/>
  <c r="M35" i="7"/>
  <c r="F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<sst xmlns="http://schemas.openxmlformats.org/spreadsheetml/2006/main" count="457" uniqueCount="62">
  <si>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</si>
  <si>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</si>
  <si>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</si>
  <si>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</si>
  <si>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</si>
  <si>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</si>
  <si>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</si>
  <si>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</si>
  <si>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</si>
  <si>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</si>
  <si>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</si>
  <si>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</si>
  <si>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</si>
  <si>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</si>
  <si>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</si>
  <si>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</si>
  <si>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</si>
  <si>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</si>
  <si>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</si>
  <si>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</si>
  <si>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</si>
  <si>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</si>
  <si>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</si>
  <si>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</si>
  <si>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</si>
  <si>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</si>
  <si>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</si>
  <si>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</si>
  <si>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</si>
  <si>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</si>
  <si>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</si>
  <si>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</si>
  <si>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</si>
  <si>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</si>
  <si>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</si>
  <si>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</si>
  <si>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</si>
  <si>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</si>
  <si>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</si>
  <si>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</si>
  <si>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</si>
  <si>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</si>
  <si>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</si>
  <si>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</si>
  <si>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</si>
  <si>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</si>
  <si>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</si>
  <si>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</si>
  <si>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</si>
  <si>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</si>
  <si>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</si>
  <si>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</si>
  <si>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</si>
  <si>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</si>
  <si>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</si>
  <si>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</si>
  <si>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</si>
  <si>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</si>
  <si>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</si>
  <si>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</si>
  <si>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</si>
  <si>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MERCAT DE LES FLORS (CMF)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</si>
</sst>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5-4DB6-B6FF-0F511D030806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5-4DB6-B6FF-0F511D030806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5-4DB6-B6FF-0F511D030806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45-4DB6-B6FF-0F511D030806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5-4DB6-B6FF-0F511D030806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45-4DB6-B6FF-0F511D030806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45-4DB6-B6FF-0F511D030806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45-4DB6-B6FF-0F511D030806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5-4DB6-B6FF-0F511D030806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45-4DB6-B6FF-0F511D0308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14</c:v>
                </c:pt>
                <c:pt idx="7">
                  <c:v>891</c:v>
                </c:pt>
                <c:pt idx="8">
                  <c:v>124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45-4DB6-B6FF-0F511D030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1-47BB-835E-7A094DBFF32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1-47BB-835E-7A094DBFF32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1-47BB-835E-7A094DBFF32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1-47BB-835E-7A094DBFF32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B1-47BB-835E-7A094DBFF32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1-47BB-835E-7A094DBFF32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B1-47BB-835E-7A094DBFF32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1-47BB-835E-7A094DBFF32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B1-47BB-835E-7A094DBFF32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1-47BB-835E-7A094DBFF3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531724.93999999994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987919.72</c:v>
                </c:pt>
                <c:pt idx="6">
                  <c:v>414530.2</c:v>
                </c:pt>
                <c:pt idx="7">
                  <c:v>1468377.83</c:v>
                </c:pt>
                <c:pt idx="8">
                  <c:v>91816.97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B1-47BB-835E-7A094DBFF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9-4F48-AA81-CD6FF55D49D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9-4F48-AA81-CD6FF55D49D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9-4F48-AA81-CD6FF55D49D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9-4F48-AA81-CD6FF55D49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744</c:v>
                </c:pt>
                <c:pt idx="2">
                  <c:v>184</c:v>
                </c:pt>
                <c:pt idx="3">
                  <c:v>0</c:v>
                </c:pt>
                <c:pt idx="4">
                  <c:v>144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49-4F48-AA81-CD6FF55D49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78-4D78-BC6E-F894A9C79D7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8-4D78-BC6E-F894A9C79D7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8-4D78-BC6E-F894A9C79D7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8-4D78-BC6E-F894A9C79D7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8-4D78-BC6E-F894A9C79D7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8-4D78-BC6E-F894A9C79D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22843.59</c:v>
                </c:pt>
                <c:pt idx="1">
                  <c:v>1920140.07</c:v>
                </c:pt>
                <c:pt idx="2">
                  <c:v>144241.46</c:v>
                </c:pt>
                <c:pt idx="3">
                  <c:v>0</c:v>
                </c:pt>
                <c:pt idx="4">
                  <c:v>1407144.54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78-4D78-BC6E-F894A9C79D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G37" sqref="G3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44330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4" si="2">IF(G13,G13/$G$25,"")</f>
        <v>1.8433179723502304E-2</v>
      </c>
      <c r="I13" s="4">
        <f>J13/1.21</f>
        <v>396181.38842975209</v>
      </c>
      <c r="J13" s="5">
        <f>479379.48</f>
        <v>479379.48</v>
      </c>
      <c r="K13" s="21">
        <f t="shared" ref="K13:K24" si="3">IF(J13,J13/$J$25,"")</f>
        <v>0.4441268738574175</v>
      </c>
      <c r="L13" s="1">
        <v>0</v>
      </c>
      <c r="M13" s="20" t="str">
        <f>IF(L13,L13/$L$25,"")</f>
        <v/>
      </c>
      <c r="N13" s="4">
        <v>0</v>
      </c>
      <c r="O13" s="5">
        <v>0</v>
      </c>
      <c r="P13" s="21" t="str">
        <f>IF(O13,O13/$O$25,"")</f>
        <v/>
      </c>
      <c r="Q13" s="1"/>
      <c r="R13" s="20" t="str">
        <f t="shared" ref="R13:R24" si="4">IF(Q13,Q13/$Q$25,"")</f>
        <v/>
      </c>
      <c r="S13" s="4">
        <v>0</v>
      </c>
      <c r="T13" s="5">
        <v>0</v>
      </c>
      <c r="U13" s="21" t="str">
        <f t="shared" ref="U13:U24" si="5">IF(T13,T13/$T$25,"")</f>
        <v/>
      </c>
      <c r="V13" s="1"/>
      <c r="W13" s="20" t="str">
        <f t="shared" ref="W13:W24" si="6">IF(V13,V13/$V$25,"")</f>
        <v/>
      </c>
      <c r="X13" s="4"/>
      <c r="Y13" s="5"/>
      <c r="Z13" s="21" t="str">
        <f t="shared" ref="Z13:Z24" si="7">IF(Y13,Y13/$Y$25,"")</f>
        <v/>
      </c>
      <c r="AA13" s="1"/>
      <c r="AB13" s="20" t="str">
        <f t="shared" ref="AB13:AB24" si="8">IF(AA13,AA13/$AA$25,"")</f>
        <v/>
      </c>
      <c r="AC13" s="4"/>
      <c r="AD13" s="5"/>
      <c r="AE13" s="21" t="str">
        <f t="shared" ref="AE13:AE24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ref="M14:M24" si="10">IF(L14,L14/$L$25,"")</f>
        <v/>
      </c>
      <c r="N14" s="6"/>
      <c r="O14" s="7"/>
      <c r="P14" s="21" t="str">
        <f t="shared" ref="P14:P24" si="11"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10"/>
        <v/>
      </c>
      <c r="N15" s="6"/>
      <c r="O15" s="7"/>
      <c r="P15" s="21" t="str">
        <f t="shared" si="11"/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10"/>
        <v/>
      </c>
      <c r="N16" s="6"/>
      <c r="O16" s="7"/>
      <c r="P16" s="21" t="str">
        <f t="shared" si="11"/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10"/>
        <v/>
      </c>
      <c r="N17" s="6"/>
      <c r="O17" s="7"/>
      <c r="P17" s="21" t="str">
        <f t="shared" si="11"/>
        <v/>
      </c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99"/>
      <c r="Y17" s="99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10"/>
        <v/>
      </c>
      <c r="N18" s="69"/>
      <c r="O18" s="70"/>
      <c r="P18" s="67" t="str">
        <f t="shared" si="11"/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16</v>
      </c>
      <c r="W18" s="66">
        <f t="shared" si="6"/>
        <v>0.21917808219178081</v>
      </c>
      <c r="X18" s="69">
        <f>Y18/1.21</f>
        <v>538659.57851239666</v>
      </c>
      <c r="Y18" s="70">
        <v>651778.09</v>
      </c>
      <c r="Z18" s="67">
        <f t="shared" si="7"/>
        <v>0.7342848631651675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f>6</f>
        <v>6</v>
      </c>
      <c r="H19" s="20">
        <f t="shared" si="2"/>
        <v>2.7649769585253458E-2</v>
      </c>
      <c r="I19" s="6">
        <f>J19/1.21</f>
        <v>220281.50413223141</v>
      </c>
      <c r="J19" s="7">
        <f>20413.01+246127.61</f>
        <v>266540.62</v>
      </c>
      <c r="K19" s="21">
        <f t="shared" si="3"/>
        <v>0.24693975703052176</v>
      </c>
      <c r="L19" s="2"/>
      <c r="M19" s="20" t="str">
        <f t="shared" si="10"/>
        <v/>
      </c>
      <c r="N19" s="6"/>
      <c r="O19" s="7"/>
      <c r="P19" s="21" t="str">
        <f t="shared" si="11"/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207</v>
      </c>
      <c r="H20" s="66">
        <f t="shared" si="2"/>
        <v>0.95391705069124422</v>
      </c>
      <c r="I20" s="69">
        <f>J20/1.21</f>
        <v>275582.62809917354</v>
      </c>
      <c r="J20" s="70">
        <f>333454.98</f>
        <v>333454.98</v>
      </c>
      <c r="K20" s="67">
        <f t="shared" si="3"/>
        <v>0.3089333691120606</v>
      </c>
      <c r="L20" s="68">
        <v>21</v>
      </c>
      <c r="M20" s="66">
        <f t="shared" si="10"/>
        <v>0.39622641509433965</v>
      </c>
      <c r="N20" s="69">
        <v>15323.71</v>
      </c>
      <c r="O20" s="70">
        <v>18541.689999999999</v>
      </c>
      <c r="P20" s="67">
        <f t="shared" si="11"/>
        <v>0.50761934537856634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57</v>
      </c>
      <c r="W20" s="66">
        <f t="shared" si="6"/>
        <v>0.78082191780821919</v>
      </c>
      <c r="X20" s="69">
        <f>Y20/1.21</f>
        <v>194924.35537190083</v>
      </c>
      <c r="Y20" s="70">
        <v>235858.47</v>
      </c>
      <c r="Z20" s="67">
        <f t="shared" si="7"/>
        <v>0.2657151368348325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32</v>
      </c>
      <c r="M21" s="20">
        <f t="shared" si="10"/>
        <v>0.60377358490566035</v>
      </c>
      <c r="N21" s="6">
        <f>O21/1.21</f>
        <v>14863.694214876034</v>
      </c>
      <c r="O21" s="7">
        <v>17985.07</v>
      </c>
      <c r="P21" s="21">
        <f t="shared" si="11"/>
        <v>0.49238065462143377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100"/>
      <c r="Y21" s="100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10"/>
        <v/>
      </c>
      <c r="N22" s="6"/>
      <c r="O22" s="7"/>
      <c r="P22" s="21" t="str">
        <f t="shared" si="11"/>
        <v/>
      </c>
      <c r="Q22" s="2"/>
      <c r="R22" s="20" t="str">
        <f t="shared" si="4"/>
        <v/>
      </c>
      <c r="S22" s="6"/>
      <c r="T22" s="7"/>
      <c r="U22" s="21" t="str">
        <f t="shared" si="5"/>
        <v/>
      </c>
      <c r="V22" s="2"/>
      <c r="W22" s="20" t="str">
        <f t="shared" si="6"/>
        <v/>
      </c>
      <c r="X22" s="100"/>
      <c r="Y22" s="101"/>
      <c r="Z22" s="21" t="str">
        <f t="shared" si="7"/>
        <v/>
      </c>
      <c r="AA22" s="2"/>
      <c r="AB22" s="20" t="str">
        <f t="shared" si="8"/>
        <v/>
      </c>
      <c r="AC22" s="6"/>
      <c r="AD22" s="7"/>
      <c r="AE22" s="21" t="str">
        <f t="shared" si="9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10"/>
        <v/>
      </c>
      <c r="N23" s="6"/>
      <c r="O23" s="7"/>
      <c r="P23" s="21" t="str">
        <f t="shared" si="11"/>
        <v/>
      </c>
      <c r="Q23" s="2"/>
      <c r="R23" s="20" t="str">
        <f t="shared" si="4"/>
        <v/>
      </c>
      <c r="S23" s="6"/>
      <c r="T23" s="7"/>
      <c r="U23" s="21" t="str">
        <f t="shared" si="5"/>
        <v/>
      </c>
      <c r="V23" s="2"/>
      <c r="W23" s="20" t="str">
        <f t="shared" si="6"/>
        <v/>
      </c>
      <c r="X23" s="100"/>
      <c r="Y23" s="101"/>
      <c r="Z23" s="21" t="str">
        <f t="shared" si="7"/>
        <v/>
      </c>
      <c r="AA23" s="2"/>
      <c r="AB23" s="20" t="str">
        <f t="shared" si="8"/>
        <v/>
      </c>
      <c r="AC23" s="6"/>
      <c r="AD23" s="7"/>
      <c r="AE23" s="21" t="str">
        <f t="shared" si="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10"/>
        <v/>
      </c>
      <c r="N24" s="69"/>
      <c r="O24" s="70"/>
      <c r="P24" s="67" t="str">
        <f t="shared" si="11"/>
        <v/>
      </c>
      <c r="Q24" s="68"/>
      <c r="R24" s="66" t="str">
        <f t="shared" si="4"/>
        <v/>
      </c>
      <c r="S24" s="69"/>
      <c r="T24" s="70"/>
      <c r="U24" s="67" t="str">
        <f t="shared" si="5"/>
        <v/>
      </c>
      <c r="V24" s="68"/>
      <c r="W24" s="66" t="str">
        <f t="shared" si="6"/>
        <v/>
      </c>
      <c r="X24" s="69"/>
      <c r="Y24" s="70"/>
      <c r="Z24" s="67" t="str">
        <f t="shared" si="7"/>
        <v/>
      </c>
      <c r="AA24" s="68"/>
      <c r="AB24" s="20" t="str">
        <f t="shared" si="8"/>
        <v/>
      </c>
      <c r="AC24" s="69"/>
      <c r="AD24" s="70"/>
      <c r="AE24" s="67" t="str">
        <f t="shared" si="9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217</v>
      </c>
      <c r="H25" s="17">
        <f t="shared" si="12"/>
        <v>1</v>
      </c>
      <c r="I25" s="18">
        <f t="shared" si="12"/>
        <v>892045.52066115709</v>
      </c>
      <c r="J25" s="18">
        <f t="shared" si="12"/>
        <v>1079375.08</v>
      </c>
      <c r="K25" s="19">
        <f t="shared" si="12"/>
        <v>0.99999999999999989</v>
      </c>
      <c r="L25" s="16">
        <f>SUM(L13:L24)</f>
        <v>53</v>
      </c>
      <c r="M25" s="17">
        <f>SUM(M13:M24)</f>
        <v>1</v>
      </c>
      <c r="N25" s="18">
        <f>SUM(N13:N24)</f>
        <v>30187.404214876035</v>
      </c>
      <c r="O25" s="18">
        <f>SUM(O13:O24)</f>
        <v>36526.759999999995</v>
      </c>
      <c r="P25" s="19">
        <f>SUM(P13:P24)</f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73</v>
      </c>
      <c r="W25" s="17">
        <f t="shared" si="12"/>
        <v>1</v>
      </c>
      <c r="X25" s="18">
        <f t="shared" si="12"/>
        <v>733583.9338842975</v>
      </c>
      <c r="Y25" s="18">
        <f t="shared" si="12"/>
        <v>887636.55999999994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>B13+G13+L13+Q13+AA13+V13</f>
        <v>4</v>
      </c>
      <c r="C34" s="8">
        <f t="shared" ref="C34:C43" si="13">IF(B34,B34/$B$46,"")</f>
        <v>1.1661807580174927E-2</v>
      </c>
      <c r="D34" s="10">
        <f>D13+I13+N13+S13+AC13+X13</f>
        <v>396181.38842975209</v>
      </c>
      <c r="E34" s="11">
        <f>E13+J13+O13+T13+AD13+Y13</f>
        <v>479379.48</v>
      </c>
      <c r="F34" s="21">
        <f t="shared" ref="F34:F43" si="14">IF(E34,E34/$E$46,"")</f>
        <v>0.23926642983234059</v>
      </c>
      <c r="J34" s="149" t="s">
        <v>3</v>
      </c>
      <c r="K34" s="150"/>
      <c r="L34" s="57">
        <f>B25</f>
        <v>0</v>
      </c>
      <c r="M34" s="8" t="str">
        <f t="shared" ref="M34:M39" si="15">IF(L34,L34/$L$40,"")</f>
        <v/>
      </c>
      <c r="N34" s="58">
        <f>D25</f>
        <v>0</v>
      </c>
      <c r="O34" s="58">
        <f>E25</f>
        <v>0</v>
      </c>
      <c r="P34" s="59" t="str">
        <f t="shared" ref="P34:P39" si="16">IF(O34,O34/$O$40,"")</f>
        <v/>
      </c>
    </row>
    <row r="35" spans="1:33" s="25" customFormat="1" ht="30" customHeight="1" x14ac:dyDescent="0.3">
      <c r="A35" s="43" t="s">
        <v>18</v>
      </c>
      <c r="B35" s="12">
        <f t="shared" ref="B35:B45" si="17">B14+G14+L14+Q14+AA14+V14</f>
        <v>0</v>
      </c>
      <c r="C35" s="8" t="str">
        <f t="shared" si="13"/>
        <v/>
      </c>
      <c r="D35" s="13">
        <f t="shared" ref="D35:D45" si="18">D14+I14+N14+S14+AC14+X14</f>
        <v>0</v>
      </c>
      <c r="E35" s="14">
        <f t="shared" ref="E35:E45" si="19">E14+J14+O14+T14+AD14+Y14</f>
        <v>0</v>
      </c>
      <c r="F35" s="21" t="str">
        <f t="shared" si="14"/>
        <v/>
      </c>
      <c r="J35" s="145" t="s">
        <v>1</v>
      </c>
      <c r="K35" s="146"/>
      <c r="L35" s="60">
        <f>G25</f>
        <v>217</v>
      </c>
      <c r="M35" s="8">
        <f t="shared" si="15"/>
        <v>0.63265306122448983</v>
      </c>
      <c r="N35" s="61">
        <f>I25</f>
        <v>892045.52066115709</v>
      </c>
      <c r="O35" s="61">
        <f>J25</f>
        <v>1079375.08</v>
      </c>
      <c r="P35" s="59">
        <f t="shared" si="16"/>
        <v>0.53873441107991749</v>
      </c>
    </row>
    <row r="36" spans="1:33" ht="30" customHeight="1" x14ac:dyDescent="0.3">
      <c r="A36" s="43" t="s">
        <v>19</v>
      </c>
      <c r="B36" s="12">
        <f t="shared" si="17"/>
        <v>0</v>
      </c>
      <c r="C36" s="8" t="str">
        <f t="shared" si="13"/>
        <v/>
      </c>
      <c r="D36" s="13">
        <f t="shared" si="18"/>
        <v>0</v>
      </c>
      <c r="E36" s="14">
        <f t="shared" si="19"/>
        <v>0</v>
      </c>
      <c r="F36" s="21" t="str">
        <f t="shared" si="14"/>
        <v/>
      </c>
      <c r="G36" s="25"/>
      <c r="J36" s="145" t="s">
        <v>2</v>
      </c>
      <c r="K36" s="146"/>
      <c r="L36" s="60">
        <f>L25</f>
        <v>53</v>
      </c>
      <c r="M36" s="8">
        <f t="shared" si="15"/>
        <v>0.15451895043731778</v>
      </c>
      <c r="N36" s="61">
        <f>N25</f>
        <v>30187.404214876035</v>
      </c>
      <c r="O36" s="61">
        <f>O25</f>
        <v>36526.759999999995</v>
      </c>
      <c r="P36" s="59">
        <f t="shared" si="16"/>
        <v>1.8231125492778177E-2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7"/>
        <v>0</v>
      </c>
      <c r="C37" s="8" t="str">
        <f t="shared" si="13"/>
        <v/>
      </c>
      <c r="D37" s="13">
        <f t="shared" si="18"/>
        <v>0</v>
      </c>
      <c r="E37" s="14">
        <f t="shared" si="19"/>
        <v>0</v>
      </c>
      <c r="F37" s="21" t="str">
        <f t="shared" si="14"/>
        <v/>
      </c>
      <c r="G37" s="25"/>
      <c r="J37" s="145" t="s">
        <v>34</v>
      </c>
      <c r="K37" s="146"/>
      <c r="L37" s="60">
        <f>Q25</f>
        <v>0</v>
      </c>
      <c r="M37" s="8" t="str">
        <f t="shared" si="15"/>
        <v/>
      </c>
      <c r="N37" s="61">
        <f>S25</f>
        <v>0</v>
      </c>
      <c r="O37" s="61">
        <f>T25</f>
        <v>0</v>
      </c>
      <c r="P37" s="59" t="str">
        <f t="shared" si="16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7"/>
        <v>0</v>
      </c>
      <c r="C38" s="8" t="str">
        <f t="shared" si="13"/>
        <v/>
      </c>
      <c r="D38" s="13">
        <f t="shared" si="18"/>
        <v>0</v>
      </c>
      <c r="E38" s="22">
        <f t="shared" si="19"/>
        <v>0</v>
      </c>
      <c r="F38" s="21" t="str">
        <f t="shared" si="14"/>
        <v/>
      </c>
      <c r="G38" s="25"/>
      <c r="J38" s="145" t="s">
        <v>5</v>
      </c>
      <c r="K38" s="146"/>
      <c r="L38" s="60">
        <f>V25</f>
        <v>73</v>
      </c>
      <c r="M38" s="8">
        <f t="shared" si="15"/>
        <v>0.21282798833819241</v>
      </c>
      <c r="N38" s="61">
        <f>X25</f>
        <v>733583.9338842975</v>
      </c>
      <c r="O38" s="61">
        <f>Y25</f>
        <v>887636.55999999994</v>
      </c>
      <c r="P38" s="59">
        <f t="shared" si="16"/>
        <v>0.4430344634273044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7"/>
        <v>16</v>
      </c>
      <c r="C39" s="8">
        <f t="shared" si="13"/>
        <v>4.6647230320699708E-2</v>
      </c>
      <c r="D39" s="13">
        <f t="shared" si="18"/>
        <v>538659.57851239666</v>
      </c>
      <c r="E39" s="22">
        <f t="shared" si="19"/>
        <v>651778.09</v>
      </c>
      <c r="F39" s="21">
        <f t="shared" si="14"/>
        <v>0.32531350035517159</v>
      </c>
      <c r="G39" s="25"/>
      <c r="J39" s="145" t="s">
        <v>4</v>
      </c>
      <c r="K39" s="146"/>
      <c r="L39" s="60">
        <f>AA25</f>
        <v>0</v>
      </c>
      <c r="M39" s="8" t="str">
        <f t="shared" si="15"/>
        <v/>
      </c>
      <c r="N39" s="61">
        <f>AC25</f>
        <v>0</v>
      </c>
      <c r="O39" s="61">
        <f>AD25</f>
        <v>0</v>
      </c>
      <c r="P39" s="59" t="str">
        <f t="shared" si="16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7"/>
        <v>6</v>
      </c>
      <c r="C40" s="8">
        <f t="shared" si="13"/>
        <v>1.7492711370262391E-2</v>
      </c>
      <c r="D40" s="13">
        <f t="shared" si="18"/>
        <v>220281.50413223141</v>
      </c>
      <c r="E40" s="23">
        <f t="shared" si="19"/>
        <v>266540.62</v>
      </c>
      <c r="F40" s="21">
        <f t="shared" si="14"/>
        <v>0.13303494457605602</v>
      </c>
      <c r="G40" s="25"/>
      <c r="J40" s="147" t="s">
        <v>0</v>
      </c>
      <c r="K40" s="148"/>
      <c r="L40" s="83">
        <f>SUM(L34:L39)</f>
        <v>343</v>
      </c>
      <c r="M40" s="17">
        <f>SUM(M34:M39)</f>
        <v>1</v>
      </c>
      <c r="N40" s="84">
        <f>SUM(N34:N39)</f>
        <v>1655816.8587603306</v>
      </c>
      <c r="O40" s="85">
        <f>SUM(O34:O39)</f>
        <v>2003538.4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>B20+G20+L20+Q20+AA20+V20</f>
        <v>285</v>
      </c>
      <c r="C41" s="8">
        <f t="shared" si="13"/>
        <v>0.83090379008746351</v>
      </c>
      <c r="D41" s="13">
        <f>D20+I20+N20+S20+AC20+X20</f>
        <v>485830.6934710744</v>
      </c>
      <c r="E41" s="23">
        <f>E20+J20+O20+T20+AD20+Y20</f>
        <v>587855.14</v>
      </c>
      <c r="F41" s="21">
        <f t="shared" si="14"/>
        <v>0.29340847173181206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7"/>
        <v>32</v>
      </c>
      <c r="C42" s="8">
        <f t="shared" si="13"/>
        <v>9.3294460641399415E-2</v>
      </c>
      <c r="D42" s="13">
        <f t="shared" si="18"/>
        <v>14863.694214876034</v>
      </c>
      <c r="E42" s="14">
        <f t="shared" si="19"/>
        <v>17985.07</v>
      </c>
      <c r="F42" s="21">
        <f t="shared" si="14"/>
        <v>8.9766535046196267E-3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7"/>
        <v>0</v>
      </c>
      <c r="C43" s="8" t="str">
        <f t="shared" si="13"/>
        <v/>
      </c>
      <c r="D43" s="13">
        <f t="shared" si="18"/>
        <v>0</v>
      </c>
      <c r="E43" s="14">
        <f t="shared" si="19"/>
        <v>0</v>
      </c>
      <c r="F43" s="21" t="str">
        <f t="shared" si="14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7"/>
        <v>0</v>
      </c>
      <c r="C44" s="8" t="str">
        <f t="shared" ref="C44" si="20">IF(B44,B44/$B$46,"")</f>
        <v/>
      </c>
      <c r="D44" s="13">
        <f t="shared" si="18"/>
        <v>0</v>
      </c>
      <c r="E44" s="14">
        <f t="shared" si="19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7"/>
        <v>0</v>
      </c>
      <c r="C45" s="8" t="str">
        <f t="shared" ref="C45" si="22">IF(B45,B45/$B$46,"")</f>
        <v/>
      </c>
      <c r="D45" s="13">
        <f t="shared" si="18"/>
        <v>0</v>
      </c>
      <c r="E45" s="14">
        <f t="shared" si="19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343</v>
      </c>
      <c r="C46" s="17">
        <f>SUM(C34:C45)</f>
        <v>1</v>
      </c>
      <c r="D46" s="18">
        <f>SUM(D34:D45)</f>
        <v>1655816.8587603306</v>
      </c>
      <c r="E46" s="18">
        <f>SUM(E34:E45)</f>
        <v>2003538.4000000001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 I13:J20 G19 N21 X18:X20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X21" sqref="X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CONSORCI MERCAT DE LES FLORS (CMF)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3</v>
      </c>
      <c r="W18" s="66">
        <f t="shared" si="8"/>
        <v>0.42857142857142855</v>
      </c>
      <c r="X18" s="69">
        <f>Y18/1.21</f>
        <v>92620</v>
      </c>
      <c r="Y18" s="70">
        <v>112070.2</v>
      </c>
      <c r="Z18" s="67">
        <f t="shared" si="9"/>
        <v>0.92348799813835958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2.5157232704402517E-2</v>
      </c>
      <c r="I19" s="6">
        <f>J19/1.21</f>
        <v>50870.140495867767</v>
      </c>
      <c r="J19" s="7">
        <f>9.7+61543.17</f>
        <v>61552.869999999995</v>
      </c>
      <c r="K19" s="21">
        <f t="shared" si="3"/>
        <v>0.26883263897966631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154</v>
      </c>
      <c r="H20" s="66">
        <f t="shared" si="2"/>
        <v>0.96855345911949686</v>
      </c>
      <c r="I20" s="69">
        <f>J20/1.21</f>
        <v>137517.35537190083</v>
      </c>
      <c r="J20" s="70">
        <v>166396</v>
      </c>
      <c r="K20" s="21">
        <f t="shared" si="3"/>
        <v>0.72673582557012462</v>
      </c>
      <c r="L20" s="68">
        <v>13</v>
      </c>
      <c r="M20" s="66">
        <f t="shared" si="4"/>
        <v>0.23214285714285715</v>
      </c>
      <c r="N20" s="69">
        <f>O20/1.21</f>
        <v>10199.636363636364</v>
      </c>
      <c r="O20" s="70">
        <v>12341.56</v>
      </c>
      <c r="P20" s="67">
        <f t="shared" si="5"/>
        <v>0.2664623902627864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4</v>
      </c>
      <c r="W20" s="66">
        <f t="shared" si="8"/>
        <v>0.5714285714285714</v>
      </c>
      <c r="X20" s="69">
        <f>Y20/1.21</f>
        <v>7673.6694214876034</v>
      </c>
      <c r="Y20" s="70">
        <v>9285.14</v>
      </c>
      <c r="Z20" s="67">
        <f t="shared" si="9"/>
        <v>7.6512001861640366E-2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6.2893081761006293E-3</v>
      </c>
      <c r="I21" s="6">
        <f>J21/1.21</f>
        <v>838.56198347107443</v>
      </c>
      <c r="J21" s="7">
        <v>1014.66</v>
      </c>
      <c r="K21" s="21">
        <f t="shared" si="3"/>
        <v>4.4315354502090353E-3</v>
      </c>
      <c r="L21" s="2">
        <v>43</v>
      </c>
      <c r="M21" s="20">
        <f t="shared" si="4"/>
        <v>0.7678571428571429</v>
      </c>
      <c r="N21" s="6">
        <f>O21/1.21</f>
        <v>28078.322314049587</v>
      </c>
      <c r="O21" s="7">
        <v>33974.769999999997</v>
      </c>
      <c r="P21" s="21">
        <f t="shared" si="5"/>
        <v>0.7335376097372136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159</v>
      </c>
      <c r="H25" s="17">
        <f t="shared" si="32"/>
        <v>1</v>
      </c>
      <c r="I25" s="18">
        <f t="shared" si="32"/>
        <v>189226.05785123966</v>
      </c>
      <c r="J25" s="18">
        <f t="shared" si="32"/>
        <v>228963.53</v>
      </c>
      <c r="K25" s="19">
        <f t="shared" si="32"/>
        <v>0.99999999999999989</v>
      </c>
      <c r="L25" s="16">
        <f t="shared" si="32"/>
        <v>56</v>
      </c>
      <c r="M25" s="17">
        <f t="shared" si="32"/>
        <v>1</v>
      </c>
      <c r="N25" s="18">
        <f t="shared" si="32"/>
        <v>38277.958677685951</v>
      </c>
      <c r="O25" s="18">
        <f t="shared" si="32"/>
        <v>46316.329999999994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7</v>
      </c>
      <c r="W25" s="17">
        <f t="shared" si="32"/>
        <v>1</v>
      </c>
      <c r="X25" s="18">
        <f t="shared" si="32"/>
        <v>100293.6694214876</v>
      </c>
      <c r="Y25" s="18">
        <f t="shared" si="32"/>
        <v>121355.34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159</v>
      </c>
      <c r="M35" s="8">
        <f t="shared" si="38"/>
        <v>0.71621621621621623</v>
      </c>
      <c r="N35" s="61">
        <f>I25</f>
        <v>189226.05785123966</v>
      </c>
      <c r="O35" s="61">
        <f>J25</f>
        <v>228963.53</v>
      </c>
      <c r="P35" s="59">
        <f t="shared" si="39"/>
        <v>0.57726477629822071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56</v>
      </c>
      <c r="M36" s="8">
        <f t="shared" si="38"/>
        <v>0.25225225225225223</v>
      </c>
      <c r="N36" s="61">
        <f>N25</f>
        <v>38277.958677685951</v>
      </c>
      <c r="O36" s="61">
        <f>O25</f>
        <v>46316.329999999994</v>
      </c>
      <c r="P36" s="59">
        <f t="shared" si="39"/>
        <v>0.11677312048955817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7</v>
      </c>
      <c r="M38" s="8">
        <f t="shared" si="38"/>
        <v>3.1531531531531529E-2</v>
      </c>
      <c r="N38" s="61">
        <f>X25</f>
        <v>100293.6694214876</v>
      </c>
      <c r="O38" s="61">
        <f>Y25</f>
        <v>121355.34</v>
      </c>
      <c r="P38" s="59">
        <f t="shared" si="39"/>
        <v>0.30596210321222123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3</v>
      </c>
      <c r="C39" s="8">
        <f t="shared" si="34"/>
        <v>1.3513513513513514E-2</v>
      </c>
      <c r="D39" s="13">
        <f t="shared" si="35"/>
        <v>92620</v>
      </c>
      <c r="E39" s="22">
        <f t="shared" si="36"/>
        <v>112070.2</v>
      </c>
      <c r="F39" s="21">
        <f t="shared" si="37"/>
        <v>0.28255233020165632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4</v>
      </c>
      <c r="C40" s="8">
        <f t="shared" si="34"/>
        <v>1.8018018018018018E-2</v>
      </c>
      <c r="D40" s="13">
        <f t="shared" si="35"/>
        <v>50870.140495867767</v>
      </c>
      <c r="E40" s="23">
        <f t="shared" si="36"/>
        <v>61552.869999999995</v>
      </c>
      <c r="F40" s="21">
        <f t="shared" si="37"/>
        <v>0.15518761320225738</v>
      </c>
      <c r="G40" s="25"/>
      <c r="J40" s="147" t="s">
        <v>0</v>
      </c>
      <c r="K40" s="148"/>
      <c r="L40" s="83">
        <f>SUM(L34:L39)</f>
        <v>222</v>
      </c>
      <c r="M40" s="17">
        <f>SUM(M34:M39)</f>
        <v>1</v>
      </c>
      <c r="N40" s="84">
        <f>SUM(N34:N39)</f>
        <v>327797.68595041323</v>
      </c>
      <c r="O40" s="85">
        <f>SUM(O34:O39)</f>
        <v>396635.19999999995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171</v>
      </c>
      <c r="C41" s="8">
        <f t="shared" si="34"/>
        <v>0.77027027027027029</v>
      </c>
      <c r="D41" s="13">
        <f t="shared" si="35"/>
        <v>155390.66115702479</v>
      </c>
      <c r="E41" s="23">
        <f t="shared" si="36"/>
        <v>188022.7</v>
      </c>
      <c r="F41" s="21">
        <f t="shared" si="37"/>
        <v>0.47404441159029759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44</v>
      </c>
      <c r="C42" s="8">
        <f t="shared" si="34"/>
        <v>0.1981981981981982</v>
      </c>
      <c r="D42" s="13">
        <f t="shared" si="35"/>
        <v>28916.884297520661</v>
      </c>
      <c r="E42" s="14">
        <f t="shared" si="36"/>
        <v>34989.43</v>
      </c>
      <c r="F42" s="21">
        <f t="shared" si="37"/>
        <v>8.8215645005788698E-2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222</v>
      </c>
      <c r="C46" s="17">
        <f>SUM(C34:C45)</f>
        <v>1</v>
      </c>
      <c r="D46" s="18">
        <f>SUM(D34:D45)</f>
        <v>327797.68595041323</v>
      </c>
      <c r="E46" s="18">
        <f>SUM(E34:E45)</f>
        <v>396635.2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44" sqref="J4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44488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CONSORCI MERCAT DE LES FLORS (CMF)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1.8633540372670808E-2</v>
      </c>
      <c r="I13" s="4">
        <f>J13/1.21</f>
        <v>23783.710743801654</v>
      </c>
      <c r="J13" s="5">
        <v>28778.29</v>
      </c>
      <c r="K13" s="21">
        <f t="shared" ref="K13:K23" si="3">IF(J13,J13/$J$25,"")</f>
        <v>0.12157538275814156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1.2422360248447204E-2</v>
      </c>
      <c r="I19" s="6">
        <f>J19/1.21</f>
        <v>3802.9669421487606</v>
      </c>
      <c r="J19" s="7">
        <f>4601.59</f>
        <v>4601.59</v>
      </c>
      <c r="K19" s="21">
        <f t="shared" si="3"/>
        <v>1.9439656266791273E-2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151</v>
      </c>
      <c r="H20" s="66">
        <f t="shared" si="2"/>
        <v>0.93788819875776397</v>
      </c>
      <c r="I20" s="69">
        <f>J20/1.21</f>
        <v>163176.38016528927</v>
      </c>
      <c r="J20" s="70">
        <f>197443.42</f>
        <v>197443.42</v>
      </c>
      <c r="K20" s="67">
        <f t="shared" si="3"/>
        <v>0.83410999609693637</v>
      </c>
      <c r="L20" s="68">
        <v>14</v>
      </c>
      <c r="M20" s="66">
        <f t="shared" si="4"/>
        <v>0.66666666666666663</v>
      </c>
      <c r="N20" s="69">
        <f>O20/1.21</f>
        <v>5351.3388429752067</v>
      </c>
      <c r="O20" s="70">
        <f>6475.12</f>
        <v>6475.12</v>
      </c>
      <c r="P20" s="67">
        <f t="shared" si="5"/>
        <v>0.34095155049780634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11</v>
      </c>
      <c r="W20" s="66">
        <f t="shared" si="8"/>
        <v>1</v>
      </c>
      <c r="X20" s="69">
        <f>Y20/1.21</f>
        <v>44161.85123966942</v>
      </c>
      <c r="Y20" s="70">
        <f>53435.84</f>
        <v>53435.839999999997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3.1055900621118012E-2</v>
      </c>
      <c r="I21" s="6">
        <f>J21/1.21</f>
        <v>4866.272727272727</v>
      </c>
      <c r="J21" s="7">
        <f>5888.19</f>
        <v>5888.19</v>
      </c>
      <c r="K21" s="21">
        <f t="shared" si="3"/>
        <v>2.4874964878130755E-2</v>
      </c>
      <c r="L21" s="2">
        <v>7</v>
      </c>
      <c r="M21" s="20">
        <f t="shared" si="4"/>
        <v>0.33333333333333331</v>
      </c>
      <c r="N21" s="69">
        <f>O21/1.21</f>
        <v>10343.966942148762</v>
      </c>
      <c r="O21" s="7">
        <f>12516.2</f>
        <v>12516.2</v>
      </c>
      <c r="P21" s="21">
        <f t="shared" si="5"/>
        <v>0.65904844950219366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161</v>
      </c>
      <c r="H25" s="17">
        <f t="shared" si="22"/>
        <v>0.99999999999999989</v>
      </c>
      <c r="I25" s="18">
        <f t="shared" si="22"/>
        <v>195629.33057851242</v>
      </c>
      <c r="J25" s="18">
        <f t="shared" si="22"/>
        <v>236711.49000000002</v>
      </c>
      <c r="K25" s="19">
        <f t="shared" si="22"/>
        <v>1</v>
      </c>
      <c r="L25" s="16">
        <f t="shared" si="22"/>
        <v>21</v>
      </c>
      <c r="M25" s="17">
        <f t="shared" si="22"/>
        <v>1</v>
      </c>
      <c r="N25" s="18">
        <f t="shared" si="22"/>
        <v>15695.305785123968</v>
      </c>
      <c r="O25" s="18">
        <f t="shared" si="22"/>
        <v>18991.32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11</v>
      </c>
      <c r="W25" s="17">
        <f t="shared" si="22"/>
        <v>1</v>
      </c>
      <c r="X25" s="18">
        <f t="shared" si="22"/>
        <v>44161.85123966942</v>
      </c>
      <c r="Y25" s="18">
        <f t="shared" si="22"/>
        <v>53435.839999999997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1.5544041450777202E-2</v>
      </c>
      <c r="D34" s="10">
        <f t="shared" ref="D34:D45" si="25">D13+I13+N13+S13+AC13+X13</f>
        <v>23783.710743801654</v>
      </c>
      <c r="E34" s="11">
        <f t="shared" ref="E34:E45" si="26">E13+J13+O13+T13+AD13+Y13</f>
        <v>28778.29</v>
      </c>
      <c r="F34" s="21">
        <f t="shared" ref="F34:F43" si="27">IF(E34,E34/$E$46,"")</f>
        <v>9.309185376852748E-2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161</v>
      </c>
      <c r="M35" s="8">
        <f>IF(L35,L35/$L$40,"")</f>
        <v>0.83419689119170981</v>
      </c>
      <c r="N35" s="61">
        <f>I25</f>
        <v>195629.33057851242</v>
      </c>
      <c r="O35" s="61">
        <f>J25</f>
        <v>236711.49000000002</v>
      </c>
      <c r="P35" s="59">
        <f>IF(O35,O35/$O$40,"")</f>
        <v>0.7657130222959827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21</v>
      </c>
      <c r="M36" s="8">
        <f>IF(L36,L36/$L$40,"")</f>
        <v>0.10880829015544041</v>
      </c>
      <c r="N36" s="61">
        <f>N25</f>
        <v>15695.305785123968</v>
      </c>
      <c r="O36" s="61">
        <f>O25</f>
        <v>18991.32</v>
      </c>
      <c r="P36" s="59">
        <f>IF(O36,O36/$O$40,"")</f>
        <v>6.1433017191477021E-2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11</v>
      </c>
      <c r="M38" s="8">
        <f>IF(L38,L38/$L$40,"")</f>
        <v>5.6994818652849742E-2</v>
      </c>
      <c r="N38" s="61">
        <f>X25</f>
        <v>44161.85123966942</v>
      </c>
      <c r="O38" s="61">
        <f>Y25</f>
        <v>53435.839999999997</v>
      </c>
      <c r="P38" s="59">
        <f>IF(O38,O38/$O$40,"")</f>
        <v>0.17285396051254023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</v>
      </c>
      <c r="C40" s="8">
        <f t="shared" si="24"/>
        <v>1.0362694300518135E-2</v>
      </c>
      <c r="D40" s="13">
        <f t="shared" si="25"/>
        <v>3802.9669421487606</v>
      </c>
      <c r="E40" s="23">
        <f t="shared" si="26"/>
        <v>4601.59</v>
      </c>
      <c r="F40" s="21">
        <f t="shared" si="27"/>
        <v>1.4885197952439786E-2</v>
      </c>
      <c r="G40" s="25"/>
      <c r="J40" s="147" t="s">
        <v>0</v>
      </c>
      <c r="K40" s="148"/>
      <c r="L40" s="83">
        <f>SUM(L34:L39)</f>
        <v>193</v>
      </c>
      <c r="M40" s="17">
        <f>SUM(M34:M39)</f>
        <v>1</v>
      </c>
      <c r="N40" s="84">
        <f>SUM(N34:N39)</f>
        <v>255486.48760330581</v>
      </c>
      <c r="O40" s="85">
        <f>SUM(O34:O39)</f>
        <v>309138.65000000002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176</v>
      </c>
      <c r="C41" s="8">
        <f t="shared" si="24"/>
        <v>0.91191709844559588</v>
      </c>
      <c r="D41" s="13">
        <f t="shared" si="25"/>
        <v>212689.57024793391</v>
      </c>
      <c r="E41" s="23">
        <f t="shared" si="26"/>
        <v>257354.38</v>
      </c>
      <c r="F41" s="21">
        <f t="shared" si="27"/>
        <v>0.83248852901440817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12</v>
      </c>
      <c r="C42" s="8">
        <f t="shared" si="24"/>
        <v>6.2176165803108807E-2</v>
      </c>
      <c r="D42" s="13">
        <f t="shared" si="25"/>
        <v>15210.239669421488</v>
      </c>
      <c r="E42" s="14">
        <f t="shared" si="26"/>
        <v>18404.39</v>
      </c>
      <c r="F42" s="21">
        <f t="shared" si="27"/>
        <v>5.9534419264624459E-2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193</v>
      </c>
      <c r="C46" s="17">
        <f>SUM(C34:C45)</f>
        <v>1</v>
      </c>
      <c r="D46" s="18">
        <f>SUM(D34:D45)</f>
        <v>255486.48760330581</v>
      </c>
      <c r="E46" s="18">
        <f>SUM(E34:E45)</f>
        <v>309138.65000000002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CONSORCI MERCAT DE LES FLORS (CMF)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1.4492753623188406E-2</v>
      </c>
      <c r="I13" s="4">
        <f>23567.17/1.21</f>
        <v>19477</v>
      </c>
      <c r="J13" s="5">
        <f>I13*1.21</f>
        <v>23567.17</v>
      </c>
      <c r="K13" s="21">
        <f t="shared" ref="K13:K21" si="3">IF(J13,J13/$J$25,"")</f>
        <v>6.2830712322166332E-2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15</v>
      </c>
      <c r="W18" s="66">
        <f t="shared" si="6"/>
        <v>0.28301886792452829</v>
      </c>
      <c r="X18" s="69">
        <f>224071.43/1.21</f>
        <v>185183</v>
      </c>
      <c r="Y18" s="70">
        <f>X18*1.21</f>
        <v>224071.43</v>
      </c>
      <c r="Z18" s="67">
        <f t="shared" si="7"/>
        <v>0.65001598413538297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9.6618357487922701E-3</v>
      </c>
      <c r="I19" s="6">
        <f>J19/1.21</f>
        <v>67632.330578512396</v>
      </c>
      <c r="J19" s="7">
        <f>2021.26+79813.86</f>
        <v>81835.12</v>
      </c>
      <c r="K19" s="21">
        <f t="shared" si="3"/>
        <v>0.21817464220650848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f>E20/1.21</f>
        <v>18879</v>
      </c>
      <c r="E20" s="70">
        <v>22843.59</v>
      </c>
      <c r="F20" s="21">
        <f t="shared" si="1"/>
        <v>1</v>
      </c>
      <c r="G20" s="68">
        <f>240-38</f>
        <v>202</v>
      </c>
      <c r="H20" s="66">
        <f t="shared" si="2"/>
        <v>0.97584541062801933</v>
      </c>
      <c r="I20" s="69">
        <f>J20/1.21</f>
        <v>222882.38016528924</v>
      </c>
      <c r="J20" s="70">
        <f>390333.05-120645.37</f>
        <v>269687.67999999999</v>
      </c>
      <c r="K20" s="67">
        <f t="shared" si="3"/>
        <v>0.71899464547132519</v>
      </c>
      <c r="L20" s="68">
        <v>18</v>
      </c>
      <c r="M20" s="66">
        <f>IF(L20,L20/$L$25,"")</f>
        <v>0.33333333333333331</v>
      </c>
      <c r="N20" s="69">
        <f>21968.97/1.21</f>
        <v>18156.173553719011</v>
      </c>
      <c r="O20" s="70">
        <f>N20*1.21</f>
        <v>21968.97</v>
      </c>
      <c r="P20" s="67">
        <f>IF(O20,O20/$O$25,"")</f>
        <v>0.51804994688383177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38</v>
      </c>
      <c r="W20" s="66">
        <f t="shared" si="6"/>
        <v>0.71698113207547165</v>
      </c>
      <c r="X20" s="69">
        <f>Y20/1.21</f>
        <v>99706.917355371901</v>
      </c>
      <c r="Y20" s="70">
        <f>120645.37</f>
        <v>120645.37</v>
      </c>
      <c r="Z20" s="67">
        <f t="shared" si="7"/>
        <v>0.34998401586461697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36</v>
      </c>
      <c r="M21" s="20">
        <f>IF(L21,L21/$L$25,"")</f>
        <v>0.66666666666666663</v>
      </c>
      <c r="N21" s="6">
        <f>20438.08/1.21</f>
        <v>16890.975206611573</v>
      </c>
      <c r="O21" s="7">
        <f>N21*1.21</f>
        <v>20438.080000000002</v>
      </c>
      <c r="P21" s="21">
        <f>IF(O21,O21/$O$25,"")</f>
        <v>0.48195005311616818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18879</v>
      </c>
      <c r="E25" s="18">
        <f t="shared" si="30"/>
        <v>22843.59</v>
      </c>
      <c r="F25" s="19">
        <f t="shared" si="30"/>
        <v>1</v>
      </c>
      <c r="G25" s="16">
        <f t="shared" si="30"/>
        <v>207</v>
      </c>
      <c r="H25" s="17">
        <f t="shared" si="30"/>
        <v>1</v>
      </c>
      <c r="I25" s="18">
        <f t="shared" si="30"/>
        <v>309991.71074380167</v>
      </c>
      <c r="J25" s="18">
        <f t="shared" si="30"/>
        <v>375089.97</v>
      </c>
      <c r="K25" s="19">
        <f t="shared" si="30"/>
        <v>1</v>
      </c>
      <c r="L25" s="16">
        <f t="shared" si="30"/>
        <v>54</v>
      </c>
      <c r="M25" s="17">
        <f t="shared" si="30"/>
        <v>1</v>
      </c>
      <c r="N25" s="18">
        <f t="shared" si="30"/>
        <v>35047.148760330587</v>
      </c>
      <c r="O25" s="18">
        <f t="shared" si="30"/>
        <v>42407.05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53</v>
      </c>
      <c r="W25" s="17">
        <f t="shared" si="30"/>
        <v>1</v>
      </c>
      <c r="X25" s="18">
        <f t="shared" si="30"/>
        <v>284889.91735537187</v>
      </c>
      <c r="Y25" s="18">
        <f t="shared" si="30"/>
        <v>344716.79999999999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9.5238095238095247E-3</v>
      </c>
      <c r="D34" s="10">
        <f t="shared" ref="D34:D42" si="33">D13+I13+N13+S13+AC13+X13</f>
        <v>19477</v>
      </c>
      <c r="E34" s="11">
        <f t="shared" ref="E34:E42" si="34">E13+J13+O13+T13+AD13+Y13</f>
        <v>23567.17</v>
      </c>
      <c r="F34" s="21">
        <f t="shared" ref="F34:F42" si="35">IF(E34,E34/$E$46,"")</f>
        <v>3.0019677159661484E-2</v>
      </c>
      <c r="J34" s="149" t="s">
        <v>3</v>
      </c>
      <c r="K34" s="150"/>
      <c r="L34" s="57">
        <f>B25</f>
        <v>1</v>
      </c>
      <c r="M34" s="8">
        <f t="shared" ref="M34:M39" si="36">IF(L34,L34/$L$40,"")</f>
        <v>3.1746031746031746E-3</v>
      </c>
      <c r="N34" s="58">
        <f>D25</f>
        <v>18879</v>
      </c>
      <c r="O34" s="58">
        <f>E25</f>
        <v>22843.59</v>
      </c>
      <c r="P34" s="59">
        <f t="shared" ref="P34:P39" si="37">IF(O34,O34/$O$40,"")</f>
        <v>2.9097986604572017E-2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207</v>
      </c>
      <c r="M35" s="8">
        <f t="shared" si="36"/>
        <v>0.65714285714285714</v>
      </c>
      <c r="N35" s="61">
        <f>I25</f>
        <v>309991.71074380167</v>
      </c>
      <c r="O35" s="61">
        <f>J25</f>
        <v>375089.97</v>
      </c>
      <c r="P35" s="59">
        <f t="shared" si="37"/>
        <v>0.47778667549931159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54</v>
      </c>
      <c r="M36" s="8">
        <f t="shared" si="36"/>
        <v>0.17142857142857143</v>
      </c>
      <c r="N36" s="61">
        <f>N25</f>
        <v>35047.148760330587</v>
      </c>
      <c r="O36" s="61">
        <f>O25</f>
        <v>42407.05</v>
      </c>
      <c r="P36" s="59">
        <f t="shared" si="37"/>
        <v>5.4017769222762968E-2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53</v>
      </c>
      <c r="M38" s="8">
        <f t="shared" si="36"/>
        <v>0.16825396825396827</v>
      </c>
      <c r="N38" s="61">
        <f>X25</f>
        <v>284889.91735537187</v>
      </c>
      <c r="O38" s="61">
        <f>Y25</f>
        <v>344716.79999999999</v>
      </c>
      <c r="P38" s="59">
        <f t="shared" si="37"/>
        <v>0.43909756867335348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15</v>
      </c>
      <c r="C39" s="8">
        <f t="shared" si="32"/>
        <v>4.7619047619047616E-2</v>
      </c>
      <c r="D39" s="13">
        <f t="shared" si="33"/>
        <v>185183</v>
      </c>
      <c r="E39" s="22">
        <f t="shared" si="34"/>
        <v>224071.43</v>
      </c>
      <c r="F39" s="21">
        <f t="shared" si="35"/>
        <v>0.28542043823266378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</v>
      </c>
      <c r="C40" s="8">
        <f t="shared" si="32"/>
        <v>6.3492063492063492E-3</v>
      </c>
      <c r="D40" s="13">
        <f t="shared" si="33"/>
        <v>67632.330578512396</v>
      </c>
      <c r="E40" s="23">
        <f t="shared" si="34"/>
        <v>81835.12</v>
      </c>
      <c r="F40" s="21">
        <f t="shared" si="35"/>
        <v>0.10424093697809948</v>
      </c>
      <c r="G40" s="25"/>
      <c r="J40" s="147" t="s">
        <v>0</v>
      </c>
      <c r="K40" s="148"/>
      <c r="L40" s="83">
        <f>SUM(L34:L39)</f>
        <v>315</v>
      </c>
      <c r="M40" s="17">
        <f>SUM(M34:M39)</f>
        <v>1</v>
      </c>
      <c r="N40" s="84">
        <f>SUM(N34:N39)</f>
        <v>648807.77685950417</v>
      </c>
      <c r="O40" s="85">
        <f>SUM(O34:O39)</f>
        <v>785057.40999999992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259</v>
      </c>
      <c r="C41" s="8">
        <f t="shared" si="32"/>
        <v>0.82222222222222219</v>
      </c>
      <c r="D41" s="13">
        <f t="shared" si="33"/>
        <v>359624.47107438016</v>
      </c>
      <c r="E41" s="23">
        <f t="shared" si="34"/>
        <v>435145.61</v>
      </c>
      <c r="F41" s="21">
        <f t="shared" si="35"/>
        <v>0.55428508088344774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36</v>
      </c>
      <c r="C42" s="8">
        <f t="shared" si="32"/>
        <v>0.11428571428571428</v>
      </c>
      <c r="D42" s="13">
        <f t="shared" si="33"/>
        <v>16890.975206611573</v>
      </c>
      <c r="E42" s="14">
        <f t="shared" si="34"/>
        <v>20438.080000000002</v>
      </c>
      <c r="F42" s="21">
        <f t="shared" si="35"/>
        <v>2.6033866746127527E-2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315</v>
      </c>
      <c r="C46" s="17">
        <f>SUM(C34:C45)</f>
        <v>1</v>
      </c>
      <c r="D46" s="18">
        <f>SUM(D34:D45)</f>
        <v>648807.77685950405</v>
      </c>
      <c r="E46" s="18">
        <f>SUM(E34:E45)</f>
        <v>785057.40999999992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CONSORCI MERCAT DE LES FLORS (CMF)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10</v>
      </c>
      <c r="H13" s="20">
        <f t="shared" ref="H13:H24" si="2">IF(G13,G13/$G$25,"")</f>
        <v>1.3440860215053764E-2</v>
      </c>
      <c r="I13" s="10">
        <f>'CONTRACTACIO 1r TR 2021'!I13+'CONTRACTACIO 2n TR 2021'!I13+'CONTRACTACIO 3r TR 2021'!I13+'CONTRACTACIO 4t TR 2021'!I13</f>
        <v>439442.09917355375</v>
      </c>
      <c r="J13" s="10">
        <f>'CONTRACTACIO 1r TR 2021'!J13+'CONTRACTACIO 2n TR 2021'!J13+'CONTRACTACIO 3r TR 2021'!J13+'CONTRACTACIO 4t TR 2021'!J13</f>
        <v>531724.93999999994</v>
      </c>
      <c r="K13" s="21">
        <f t="shared" ref="K13:K24" si="3">IF(J13,J13/$J$25,"")</f>
        <v>0.27691987074672109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34</v>
      </c>
      <c r="AB18" s="20">
        <f t="shared" si="10"/>
        <v>0.2361111111111111</v>
      </c>
      <c r="AC18" s="13">
        <f>'CONTRACTACIO 1r TR 2021'!X18+'CONTRACTACIO 2n TR 2021'!X18+'CONTRACTACIO 3r TR 2021'!X18+'CONTRACTACIO 4t TR 2021'!X18</f>
        <v>816462.57851239666</v>
      </c>
      <c r="AD18" s="13">
        <f>'CONTRACTACIO 1r TR 2021'!Y18+'CONTRACTACIO 2n TR 2021'!Y18+'CONTRACTACIO 3r TR 2021'!Y18+'CONTRACTACIO 4t TR 2021'!Y18</f>
        <v>987919.72</v>
      </c>
      <c r="AE18" s="21">
        <f t="shared" si="11"/>
        <v>0.70207408828093809</v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14</v>
      </c>
      <c r="H19" s="20">
        <f t="shared" si="2"/>
        <v>1.8817204301075269E-2</v>
      </c>
      <c r="I19" s="13">
        <f>'CONTRACTACIO 1r TR 2021'!I19+'CONTRACTACIO 2n TR 2021'!I19+'CONTRACTACIO 3r TR 2021'!I19+'CONTRACTACIO 4t TR 2021'!I19</f>
        <v>342586.94214876031</v>
      </c>
      <c r="J19" s="13">
        <f>'CONTRACTACIO 1r TR 2021'!J19+'CONTRACTACIO 2n TR 2021'!J19+'CONTRACTACIO 3r TR 2021'!J19+'CONTRACTACIO 4t TR 2021'!J19</f>
        <v>414530.2</v>
      </c>
      <c r="K19" s="21">
        <f t="shared" si="3"/>
        <v>0.21588539631903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2021'!B20+'CONTRACTACIO 2n TR 2021'!B20+'CONTRACTACIO 3r TR 2021'!B20+'CONTRACTACIO 4t TR 2021'!B20</f>
        <v>1</v>
      </c>
      <c r="C20" s="20">
        <f t="shared" si="0"/>
        <v>1</v>
      </c>
      <c r="D20" s="13">
        <f>'CONTRACTACIO 1r TR 2021'!D20+'CONTRACTACIO 2n TR 2021'!D20+'CONTRACTACIO 3r TR 2021'!D20+'CONTRACTACIO 4t TR 2021'!D20</f>
        <v>18879</v>
      </c>
      <c r="E20" s="13">
        <f>'CONTRACTACIO 1r TR 2021'!E20+'CONTRACTACIO 2n TR 2021'!E20+'CONTRACTACIO 3r TR 2021'!E20+'CONTRACTACIO 4t TR 2021'!E20</f>
        <v>22843.59</v>
      </c>
      <c r="F20" s="21">
        <f t="shared" si="1"/>
        <v>1</v>
      </c>
      <c r="G20" s="9">
        <f>'CONTRACTACIO 1r TR 2021'!G20+'CONTRACTACIO 2n TR 2021'!G20+'CONTRACTACIO 3r TR 2021'!G20+'CONTRACTACIO 4t TR 2021'!G20</f>
        <v>714</v>
      </c>
      <c r="H20" s="20">
        <f t="shared" si="2"/>
        <v>0.95967741935483875</v>
      </c>
      <c r="I20" s="13">
        <f>'CONTRACTACIO 1r TR 2021'!I20+'CONTRACTACIO 2n TR 2021'!I20+'CONTRACTACIO 3r TR 2021'!I20+'CONTRACTACIO 4t TR 2021'!I20</f>
        <v>799158.74380165292</v>
      </c>
      <c r="J20" s="13">
        <f>'CONTRACTACIO 1r TR 2021'!J20+'CONTRACTACIO 2n TR 2021'!J20+'CONTRACTACIO 3r TR 2021'!J20+'CONTRACTACIO 4t TR 2021'!J20</f>
        <v>966982.08000000007</v>
      </c>
      <c r="K20" s="21">
        <f t="shared" si="3"/>
        <v>0.50359976082369873</v>
      </c>
      <c r="L20" s="9">
        <f>'CONTRACTACIO 1r TR 2021'!L20+'CONTRACTACIO 2n TR 2021'!L20+'CONTRACTACIO 3r TR 2021'!L20+'CONTRACTACIO 4t TR 2021'!L20</f>
        <v>66</v>
      </c>
      <c r="M20" s="20">
        <f t="shared" si="4"/>
        <v>0.35869565217391303</v>
      </c>
      <c r="N20" s="13">
        <f>'CONTRACTACIO 1r TR 2021'!N20+'CONTRACTACIO 2n TR 2021'!N20+'CONTRACTACIO 3r TR 2021'!N20+'CONTRACTACIO 4t TR 2021'!N20</f>
        <v>49030.858760330579</v>
      </c>
      <c r="O20" s="13">
        <f>'CONTRACTACIO 1r TR 2021'!O20+'CONTRACTACIO 2n TR 2021'!O20+'CONTRACTACIO 3r TR 2021'!O20+'CONTRACTACIO 4t TR 2021'!O20</f>
        <v>59327.340000000004</v>
      </c>
      <c r="P20" s="21">
        <f t="shared" si="5"/>
        <v>0.41130573692196409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110</v>
      </c>
      <c r="AB20" s="20">
        <f t="shared" si="10"/>
        <v>0.76388888888888884</v>
      </c>
      <c r="AC20" s="13">
        <f>'CONTRACTACIO 1r TR 2021'!X20+'CONTRACTACIO 2n TR 2021'!X20+'CONTRACTACIO 3r TR 2021'!X20+'CONTRACTACIO 4t TR 2021'!X20</f>
        <v>346466.7933884298</v>
      </c>
      <c r="AD20" s="13">
        <f>'CONTRACTACIO 1r TR 2021'!Y20+'CONTRACTACIO 2n TR 2021'!Y20+'CONTRACTACIO 3r TR 2021'!Y20+'CONTRACTACIO 4t TR 2021'!Y20</f>
        <v>419224.81999999995</v>
      </c>
      <c r="AE20" s="21">
        <f t="shared" si="11"/>
        <v>0.29792591171906185</v>
      </c>
    </row>
    <row r="21" spans="1:31" s="42" customFormat="1" ht="39.9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6</v>
      </c>
      <c r="H21" s="20">
        <f t="shared" si="2"/>
        <v>8.0645161290322578E-3</v>
      </c>
      <c r="I21" s="13">
        <f>'CONTRACTACIO 1r TR 2021'!I21+'CONTRACTACIO 2n TR 2021'!I21+'CONTRACTACIO 3r TR 2021'!I21+'CONTRACTACIO 4t TR 2021'!I21</f>
        <v>5704.8347107438012</v>
      </c>
      <c r="J21" s="13">
        <f>'CONTRACTACIO 1r TR 2021'!J21+'CONTRACTACIO 2n TR 2021'!J21+'CONTRACTACIO 3r TR 2021'!J21+'CONTRACTACIO 4t TR 2021'!J21</f>
        <v>6902.8499999999995</v>
      </c>
      <c r="K21" s="21">
        <f t="shared" si="3"/>
        <v>3.594972110550247E-3</v>
      </c>
      <c r="L21" s="9">
        <f>'CONTRACTACIO 1r TR 2021'!L21+'CONTRACTACIO 2n TR 2021'!L21+'CONTRACTACIO 3r TR 2021'!L21+'CONTRACTACIO 4t TR 2021'!L21</f>
        <v>118</v>
      </c>
      <c r="M21" s="20">
        <f t="shared" si="4"/>
        <v>0.64130434782608692</v>
      </c>
      <c r="N21" s="13">
        <f>'CONTRACTACIO 1r TR 2021'!N21+'CONTRACTACIO 2n TR 2021'!N21+'CONTRACTACIO 3r TR 2021'!N21+'CONTRACTACIO 4t TR 2021'!N21</f>
        <v>70176.958677685951</v>
      </c>
      <c r="O21" s="13">
        <f>'CONTRACTACIO 1r TR 2021'!O21+'CONTRACTACIO 2n TR 2021'!O21+'CONTRACTACIO 3r TR 2021'!O21+'CONTRACTACIO 4t TR 2021'!O21</f>
        <v>84914.12</v>
      </c>
      <c r="P21" s="21">
        <f t="shared" si="5"/>
        <v>0.58869426307803596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18879</v>
      </c>
      <c r="E25" s="18">
        <f t="shared" si="12"/>
        <v>22843.59</v>
      </c>
      <c r="F25" s="19">
        <f t="shared" si="12"/>
        <v>1</v>
      </c>
      <c r="G25" s="16">
        <f t="shared" si="12"/>
        <v>744</v>
      </c>
      <c r="H25" s="17">
        <f t="shared" si="12"/>
        <v>1</v>
      </c>
      <c r="I25" s="18">
        <f t="shared" si="12"/>
        <v>1586892.6198347108</v>
      </c>
      <c r="J25" s="18">
        <f t="shared" si="12"/>
        <v>1920140.07</v>
      </c>
      <c r="K25" s="19">
        <f t="shared" si="12"/>
        <v>1</v>
      </c>
      <c r="L25" s="16">
        <f t="shared" si="12"/>
        <v>184</v>
      </c>
      <c r="M25" s="17">
        <f t="shared" si="12"/>
        <v>1</v>
      </c>
      <c r="N25" s="18">
        <f t="shared" si="12"/>
        <v>119207.81743801653</v>
      </c>
      <c r="O25" s="18">
        <f t="shared" si="12"/>
        <v>144241.46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144</v>
      </c>
      <c r="AB25" s="17">
        <f t="shared" si="12"/>
        <v>1</v>
      </c>
      <c r="AC25" s="18">
        <f t="shared" si="12"/>
        <v>1162929.3719008265</v>
      </c>
      <c r="AD25" s="18">
        <f t="shared" si="12"/>
        <v>1407144.54</v>
      </c>
      <c r="AE25" s="19">
        <f t="shared" si="12"/>
        <v>1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3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10</v>
      </c>
      <c r="C34" s="8">
        <f t="shared" ref="C34:C40" si="14">IF(B34,B34/$B$46,"")</f>
        <v>9.3196644920782844E-3</v>
      </c>
      <c r="D34" s="10">
        <f t="shared" ref="D34:D43" si="15">D13+I13+N13+S13+X13+AC13</f>
        <v>439442.09917355375</v>
      </c>
      <c r="E34" s="11">
        <f t="shared" ref="E34:E43" si="16">E13+J13+O13+T13+Y13+AD13</f>
        <v>531724.93999999994</v>
      </c>
      <c r="F34" s="21">
        <f t="shared" ref="F34:F40" si="17">IF(E34,E34/$E$46,"")</f>
        <v>0.15216619640636414</v>
      </c>
      <c r="J34" s="149" t="s">
        <v>3</v>
      </c>
      <c r="K34" s="150"/>
      <c r="L34" s="57">
        <f>B25</f>
        <v>1</v>
      </c>
      <c r="M34" s="8">
        <f t="shared" ref="M34:M39" si="18">IF(L34,L34/$L$40,"")</f>
        <v>9.3196644920782849E-4</v>
      </c>
      <c r="N34" s="58">
        <f>D25</f>
        <v>18879</v>
      </c>
      <c r="O34" s="58">
        <f>E25</f>
        <v>22843.59</v>
      </c>
      <c r="P34" s="59">
        <f t="shared" ref="P34:P39" si="19">IF(O34,O34/$O$40,"")</f>
        <v>6.5372562787189489E-3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744</v>
      </c>
      <c r="M35" s="8">
        <f t="shared" si="18"/>
        <v>0.69338303821062441</v>
      </c>
      <c r="N35" s="61">
        <f>I25</f>
        <v>1586892.6198347108</v>
      </c>
      <c r="O35" s="61">
        <f>J25</f>
        <v>1920140.07</v>
      </c>
      <c r="P35" s="59">
        <f t="shared" si="19"/>
        <v>0.5494954045588869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184</v>
      </c>
      <c r="M36" s="8">
        <f t="shared" si="18"/>
        <v>0.17148182665424044</v>
      </c>
      <c r="N36" s="61">
        <f>N25</f>
        <v>119207.81743801653</v>
      </c>
      <c r="O36" s="61">
        <f>O25</f>
        <v>144241.46</v>
      </c>
      <c r="P36" s="59">
        <f t="shared" si="19"/>
        <v>4.1278248735710461E-2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144</v>
      </c>
      <c r="M38" s="8">
        <f t="shared" si="18"/>
        <v>0.1342031686859273</v>
      </c>
      <c r="N38" s="61">
        <f>AC25</f>
        <v>1162929.3719008265</v>
      </c>
      <c r="O38" s="61">
        <f>AD25</f>
        <v>1407144.54</v>
      </c>
      <c r="P38" s="59">
        <f t="shared" si="19"/>
        <v>0.40268909042668372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34</v>
      </c>
      <c r="C39" s="8">
        <f t="shared" si="14"/>
        <v>3.1686859273066172E-2</v>
      </c>
      <c r="D39" s="13">
        <f t="shared" si="15"/>
        <v>816462.57851239666</v>
      </c>
      <c r="E39" s="22">
        <f t="shared" si="16"/>
        <v>987919.72</v>
      </c>
      <c r="F39" s="21">
        <f t="shared" si="17"/>
        <v>0.28271757602199415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14</v>
      </c>
      <c r="C40" s="8">
        <f t="shared" si="14"/>
        <v>1.3047530288909599E-2</v>
      </c>
      <c r="D40" s="13">
        <f t="shared" si="15"/>
        <v>342586.94214876031</v>
      </c>
      <c r="E40" s="23">
        <f t="shared" si="16"/>
        <v>414530.2</v>
      </c>
      <c r="F40" s="21">
        <f t="shared" si="17"/>
        <v>0.11862803318868101</v>
      </c>
      <c r="G40" s="25"/>
      <c r="H40" s="25"/>
      <c r="I40" s="25"/>
      <c r="J40" s="147" t="s">
        <v>0</v>
      </c>
      <c r="K40" s="148"/>
      <c r="L40" s="83">
        <f>SUM(L34:L39)</f>
        <v>1073</v>
      </c>
      <c r="M40" s="17">
        <f>SUM(M34:M39)</f>
        <v>1</v>
      </c>
      <c r="N40" s="84">
        <f>SUM(N34:N39)</f>
        <v>2887908.8091735542</v>
      </c>
      <c r="O40" s="85">
        <f>SUM(O34:O39)</f>
        <v>3494369.66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891</v>
      </c>
      <c r="C41" s="8">
        <f>IF(B41,B41/$B$46,"")</f>
        <v>0.83038210624417519</v>
      </c>
      <c r="D41" s="13">
        <f t="shared" si="15"/>
        <v>1213535.3959504133</v>
      </c>
      <c r="E41" s="23">
        <f t="shared" si="16"/>
        <v>1468377.83</v>
      </c>
      <c r="F41" s="21">
        <f>IF(E41,E41/$E$46,"")</f>
        <v>0.42021250550807493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124</v>
      </c>
      <c r="C42" s="8">
        <f>IF(B42,B42/$B$46,"")</f>
        <v>0.11556383970177074</v>
      </c>
      <c r="D42" s="13">
        <f t="shared" si="15"/>
        <v>75881.793388429753</v>
      </c>
      <c r="E42" s="14">
        <f t="shared" si="16"/>
        <v>91816.97</v>
      </c>
      <c r="F42" s="21">
        <f>IF(E42,E42/$E$46,"")</f>
        <v>2.6275688874885662E-2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1073</v>
      </c>
      <c r="C46" s="17">
        <f>SUM(C34:C45)</f>
        <v>1</v>
      </c>
      <c r="D46" s="18">
        <f>SUM(D34:D45)</f>
        <v>2887908.8091735537</v>
      </c>
      <c r="E46" s="18">
        <f>SUM(E34:E45)</f>
        <v>3494369.66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2022-03-14T08:34:20Z</dcterms:modified>
</cp:coreProperties>
</file>