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tabRatio="700" firstSheet="2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E13" i="6"/>
  <c r="D13" i="6"/>
  <c r="J13" i="6"/>
  <c r="I13" i="6"/>
  <c r="E24" i="5" l="1"/>
  <c r="I20" i="5" l="1"/>
  <c r="J20" i="5" l="1"/>
  <c r="G20" i="5" l="1"/>
  <c r="I21" i="4" l="1"/>
  <c r="N21" i="4"/>
  <c r="J22" i="4"/>
  <c r="I22" i="4"/>
  <c r="J24" i="4"/>
  <c r="I24" i="4"/>
  <c r="G24" i="4"/>
  <c r="L24" i="4"/>
  <c r="E13" i="1"/>
  <c r="D13" i="1"/>
  <c r="J13" i="1"/>
  <c r="I13" i="1"/>
  <c r="B13" i="1"/>
  <c r="G13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J23" i="7"/>
  <c r="K23" i="7" s="1"/>
  <c r="I23" i="7"/>
  <c r="G23" i="7"/>
  <c r="H23" i="7" s="1"/>
  <c r="E23" i="7"/>
  <c r="F23" i="7" s="1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AE22" i="1"/>
  <c r="AB22" i="1"/>
  <c r="Z22" i="1"/>
  <c r="W22" i="1"/>
  <c r="U22" i="1"/>
  <c r="R22" i="1"/>
  <c r="P22" i="1"/>
  <c r="M22" i="1"/>
  <c r="B25" i="1"/>
  <c r="L34" i="1" s="1"/>
  <c r="B16" i="7"/>
  <c r="C16" i="7" s="1"/>
  <c r="D16" i="7"/>
  <c r="J24" i="7"/>
  <c r="E24" i="7"/>
  <c r="O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J21" i="7"/>
  <c r="O21" i="7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AE16" i="7" s="1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AC25" i="7" s="1"/>
  <c r="N38" i="7" s="1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M13" i="7" s="1"/>
  <c r="Q13" i="7"/>
  <c r="V13" i="7"/>
  <c r="AA13" i="7"/>
  <c r="AB13" i="7" s="1"/>
  <c r="B20" i="7"/>
  <c r="G20" i="7"/>
  <c r="L20" i="7"/>
  <c r="AA20" i="7"/>
  <c r="Q20" i="7"/>
  <c r="R20" i="7" s="1"/>
  <c r="V20" i="7"/>
  <c r="W20" i="7" s="1"/>
  <c r="B21" i="7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AB17" i="7" s="1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J25" i="6"/>
  <c r="K20" i="6" s="1"/>
  <c r="E25" i="6"/>
  <c r="F20" i="6" s="1"/>
  <c r="O25" i="6"/>
  <c r="P20" i="6" s="1"/>
  <c r="Y25" i="6"/>
  <c r="O38" i="6" s="1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L34" i="6" s="1"/>
  <c r="L25" i="6"/>
  <c r="M21" i="6" s="1"/>
  <c r="L36" i="6"/>
  <c r="V25" i="6"/>
  <c r="L38" i="6" s="1"/>
  <c r="M38" i="6" s="1"/>
  <c r="Q25" i="6"/>
  <c r="L37" i="6" s="1"/>
  <c r="M37" i="6" s="1"/>
  <c r="AA25" i="6"/>
  <c r="L39" i="6" s="1"/>
  <c r="M39" i="6" s="1"/>
  <c r="E45" i="6"/>
  <c r="F45" i="6" s="1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25" i="6" s="1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4" i="6"/>
  <c r="K16" i="6"/>
  <c r="K17" i="6"/>
  <c r="H16" i="6"/>
  <c r="H17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K20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25" i="5" s="1"/>
  <c r="R14" i="5"/>
  <c r="R15" i="5"/>
  <c r="R17" i="5"/>
  <c r="R18" i="5"/>
  <c r="R19" i="5"/>
  <c r="R20" i="5"/>
  <c r="R21" i="5"/>
  <c r="P17" i="5"/>
  <c r="P20" i="5"/>
  <c r="M14" i="5"/>
  <c r="M16" i="5"/>
  <c r="M17" i="5"/>
  <c r="M18" i="5"/>
  <c r="M19" i="5"/>
  <c r="M20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E45" i="4"/>
  <c r="E34" i="4"/>
  <c r="E35" i="4"/>
  <c r="E36" i="4"/>
  <c r="E37" i="4"/>
  <c r="E38" i="4"/>
  <c r="F38" i="4" s="1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C38" i="4" s="1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N25" i="4"/>
  <c r="N36" i="4" s="1"/>
  <c r="L25" i="4"/>
  <c r="M21" i="4" s="1"/>
  <c r="M19" i="4"/>
  <c r="M15" i="4"/>
  <c r="M16" i="4"/>
  <c r="M17" i="4"/>
  <c r="M18" i="4"/>
  <c r="M24" i="4"/>
  <c r="J25" i="4"/>
  <c r="O35" i="4" s="1"/>
  <c r="K16" i="4"/>
  <c r="K17" i="4"/>
  <c r="G25" i="4"/>
  <c r="H24" i="4" s="1"/>
  <c r="H16" i="4"/>
  <c r="H17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J25" i="1"/>
  <c r="K20" i="1" s="1"/>
  <c r="K22" i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8" i="1" s="1"/>
  <c r="H22" i="1"/>
  <c r="L25" i="1"/>
  <c r="L36" i="1" s="1"/>
  <c r="M20" i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15" i="1"/>
  <c r="R14" i="1"/>
  <c r="P24" i="1"/>
  <c r="P20" i="1"/>
  <c r="P19" i="1"/>
  <c r="P18" i="1"/>
  <c r="P17" i="1"/>
  <c r="P15" i="1"/>
  <c r="P14" i="1"/>
  <c r="M24" i="1"/>
  <c r="M19" i="1"/>
  <c r="M18" i="1"/>
  <c r="M17" i="1"/>
  <c r="M16" i="1"/>
  <c r="M15" i="1"/>
  <c r="M14" i="1"/>
  <c r="K17" i="1"/>
  <c r="K16" i="1"/>
  <c r="K15" i="1"/>
  <c r="H17" i="1"/>
  <c r="H15" i="1"/>
  <c r="C24" i="1"/>
  <c r="C19" i="1"/>
  <c r="C18" i="1"/>
  <c r="C17" i="1"/>
  <c r="C16" i="1"/>
  <c r="C15" i="1"/>
  <c r="C14" i="1"/>
  <c r="E45" i="1"/>
  <c r="E42" i="1"/>
  <c r="E34" i="1"/>
  <c r="E41" i="1"/>
  <c r="E35" i="1"/>
  <c r="E36" i="1"/>
  <c r="F36" i="1" s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A25" i="1"/>
  <c r="L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P16" i="1"/>
  <c r="P16" i="5"/>
  <c r="P16" i="4"/>
  <c r="L37" i="4"/>
  <c r="F23" i="1"/>
  <c r="F24" i="1"/>
  <c r="C22" i="1"/>
  <c r="C23" i="1"/>
  <c r="F22" i="6"/>
  <c r="C22" i="6"/>
  <c r="H20" i="6"/>
  <c r="H19" i="6"/>
  <c r="M18" i="6"/>
  <c r="M13" i="6"/>
  <c r="P19" i="6"/>
  <c r="P14" i="6"/>
  <c r="Z21" i="6"/>
  <c r="H22" i="6"/>
  <c r="K22" i="6"/>
  <c r="M13" i="5"/>
  <c r="H22" i="5"/>
  <c r="O38" i="5"/>
  <c r="P38" i="5" s="1"/>
  <c r="K22" i="5"/>
  <c r="M14" i="4"/>
  <c r="Z21" i="4"/>
  <c r="K21" i="1"/>
  <c r="H16" i="1"/>
  <c r="H14" i="1"/>
  <c r="Z18" i="6"/>
  <c r="K15" i="6"/>
  <c r="R16" i="6"/>
  <c r="U16" i="6"/>
  <c r="U13" i="6"/>
  <c r="H24" i="6"/>
  <c r="H14" i="6"/>
  <c r="K19" i="6"/>
  <c r="K14" i="6"/>
  <c r="K21" i="6"/>
  <c r="F13" i="6"/>
  <c r="W19" i="6"/>
  <c r="W18" i="6"/>
  <c r="K24" i="6"/>
  <c r="F43" i="6"/>
  <c r="H14" i="5"/>
  <c r="H24" i="5"/>
  <c r="H18" i="5"/>
  <c r="K15" i="5"/>
  <c r="K18" i="5"/>
  <c r="K14" i="5"/>
  <c r="P18" i="5"/>
  <c r="P13" i="5"/>
  <c r="P19" i="5"/>
  <c r="P14" i="5"/>
  <c r="H15" i="5"/>
  <c r="W18" i="5"/>
  <c r="R16" i="5"/>
  <c r="H13" i="5"/>
  <c r="C14" i="5"/>
  <c r="F43" i="5"/>
  <c r="AE21" i="5"/>
  <c r="AE20" i="5"/>
  <c r="F21" i="5"/>
  <c r="F20" i="5"/>
  <c r="P21" i="5"/>
  <c r="P15" i="4"/>
  <c r="H15" i="4"/>
  <c r="H18" i="4"/>
  <c r="H14" i="4"/>
  <c r="K15" i="4"/>
  <c r="K14" i="4"/>
  <c r="K18" i="4"/>
  <c r="C15" i="4"/>
  <c r="F15" i="4"/>
  <c r="P14" i="4"/>
  <c r="P13" i="4"/>
  <c r="P18" i="4"/>
  <c r="C14" i="4"/>
  <c r="K21" i="4"/>
  <c r="W17" i="4"/>
  <c r="O38" i="4"/>
  <c r="Z17" i="4"/>
  <c r="C18" i="4"/>
  <c r="C20" i="4"/>
  <c r="M13" i="4"/>
  <c r="W20" i="4"/>
  <c r="M20" i="4"/>
  <c r="L36" i="4"/>
  <c r="C36" i="1"/>
  <c r="R17" i="7"/>
  <c r="F38" i="1"/>
  <c r="P17" i="7"/>
  <c r="P16" i="7"/>
  <c r="F37" i="4"/>
  <c r="Z16" i="7"/>
  <c r="F37" i="1"/>
  <c r="F44" i="1"/>
  <c r="C23" i="7"/>
  <c r="F15" i="7"/>
  <c r="C43" i="5"/>
  <c r="C36" i="4"/>
  <c r="C37" i="1"/>
  <c r="C15" i="7"/>
  <c r="C37" i="6"/>
  <c r="F40" i="6"/>
  <c r="U13" i="7"/>
  <c r="U16" i="7"/>
  <c r="AB18" i="7"/>
  <c r="AB19" i="7"/>
  <c r="C40" i="6"/>
  <c r="C45" i="6"/>
  <c r="AE20" i="7"/>
  <c r="R16" i="7"/>
  <c r="C37" i="5"/>
  <c r="F37" i="5"/>
  <c r="C35" i="5"/>
  <c r="F18" i="7"/>
  <c r="AE18" i="7"/>
  <c r="AE21" i="7"/>
  <c r="K16" i="7"/>
  <c r="AB20" i="7"/>
  <c r="C18" i="7"/>
  <c r="F39" i="4"/>
  <c r="R13" i="7"/>
  <c r="M19" i="7"/>
  <c r="M18" i="7"/>
  <c r="P13" i="7"/>
  <c r="P14" i="7"/>
  <c r="P19" i="7"/>
  <c r="M14" i="7"/>
  <c r="H16" i="7"/>
  <c r="P37" i="4"/>
  <c r="P38" i="4"/>
  <c r="M37" i="4"/>
  <c r="M38" i="4"/>
  <c r="C13" i="6" l="1"/>
  <c r="C25" i="6" s="1"/>
  <c r="C20" i="6"/>
  <c r="H21" i="6"/>
  <c r="H15" i="6"/>
  <c r="F14" i="6"/>
  <c r="F25" i="6" s="1"/>
  <c r="K13" i="6"/>
  <c r="H13" i="6"/>
  <c r="K18" i="6"/>
  <c r="O35" i="6"/>
  <c r="H18" i="6"/>
  <c r="H25" i="6" s="1"/>
  <c r="O34" i="6"/>
  <c r="O36" i="6"/>
  <c r="M15" i="5"/>
  <c r="M21" i="5"/>
  <c r="P15" i="5"/>
  <c r="P25" i="5" s="1"/>
  <c r="K21" i="5"/>
  <c r="O35" i="5"/>
  <c r="O40" i="5" s="1"/>
  <c r="P34" i="5" s="1"/>
  <c r="K19" i="5"/>
  <c r="K13" i="5"/>
  <c r="K24" i="5"/>
  <c r="C20" i="5"/>
  <c r="C25" i="5" s="1"/>
  <c r="C13" i="5"/>
  <c r="C21" i="5"/>
  <c r="H20" i="5"/>
  <c r="H19" i="4"/>
  <c r="E39" i="7"/>
  <c r="AE25" i="5"/>
  <c r="M25" i="5"/>
  <c r="B39" i="7"/>
  <c r="U25" i="1"/>
  <c r="P25" i="6"/>
  <c r="Z25" i="1"/>
  <c r="H21" i="4"/>
  <c r="B44" i="7"/>
  <c r="C44" i="7" s="1"/>
  <c r="K19" i="4"/>
  <c r="K22" i="4"/>
  <c r="K13" i="4"/>
  <c r="P21" i="4"/>
  <c r="H13" i="4"/>
  <c r="K24" i="4"/>
  <c r="C13" i="4"/>
  <c r="C25" i="4" s="1"/>
  <c r="H22" i="4"/>
  <c r="F14" i="4"/>
  <c r="K20" i="4"/>
  <c r="F22" i="1"/>
  <c r="H20" i="4"/>
  <c r="L35" i="4"/>
  <c r="L40" i="4" s="1"/>
  <c r="P20" i="4"/>
  <c r="P24" i="4"/>
  <c r="F20" i="4"/>
  <c r="U25" i="7"/>
  <c r="Z25" i="4"/>
  <c r="AB25" i="4"/>
  <c r="B38" i="7"/>
  <c r="C38" i="7" s="1"/>
  <c r="E35" i="7"/>
  <c r="M23" i="7"/>
  <c r="U25" i="4"/>
  <c r="W25" i="4"/>
  <c r="B46" i="5"/>
  <c r="C34" i="5" s="1"/>
  <c r="D46" i="5"/>
  <c r="N40" i="5"/>
  <c r="E46" i="6"/>
  <c r="F35" i="6" s="1"/>
  <c r="B45" i="7"/>
  <c r="B36" i="7"/>
  <c r="R25" i="6"/>
  <c r="R25" i="1"/>
  <c r="AE25" i="1"/>
  <c r="M25" i="4"/>
  <c r="R25" i="4"/>
  <c r="D46" i="6"/>
  <c r="D38" i="7"/>
  <c r="D36" i="7"/>
  <c r="S25" i="7"/>
  <c r="N37" i="7" s="1"/>
  <c r="D37" i="7"/>
  <c r="E36" i="7"/>
  <c r="H25" i="5"/>
  <c r="L40" i="6"/>
  <c r="M34" i="6" s="1"/>
  <c r="E46" i="4"/>
  <c r="F34" i="4" s="1"/>
  <c r="F25" i="5"/>
  <c r="U25" i="5"/>
  <c r="W25" i="5"/>
  <c r="Z25" i="5"/>
  <c r="AB25" i="5"/>
  <c r="T25" i="7"/>
  <c r="O37" i="7" s="1"/>
  <c r="P37" i="7" s="1"/>
  <c r="D43" i="7"/>
  <c r="D44" i="7"/>
  <c r="E38" i="7"/>
  <c r="F38" i="7" s="1"/>
  <c r="E40" i="7"/>
  <c r="B40" i="7"/>
  <c r="C21" i="1"/>
  <c r="AE25" i="4"/>
  <c r="M25" i="6"/>
  <c r="U25" i="6"/>
  <c r="W25" i="6"/>
  <c r="AB25" i="6"/>
  <c r="AE25" i="6"/>
  <c r="M21" i="1"/>
  <c r="N25" i="7"/>
  <c r="N36" i="7" s="1"/>
  <c r="P21" i="1"/>
  <c r="P25" i="1" s="1"/>
  <c r="L35" i="1"/>
  <c r="L40" i="1" s="1"/>
  <c r="M36" i="1" s="1"/>
  <c r="H13" i="1"/>
  <c r="H19" i="1"/>
  <c r="H24" i="1"/>
  <c r="H20" i="1"/>
  <c r="H21" i="1"/>
  <c r="F13" i="1"/>
  <c r="F21" i="1"/>
  <c r="K13" i="1"/>
  <c r="E34" i="7"/>
  <c r="O34" i="1"/>
  <c r="D25" i="7"/>
  <c r="N34" i="7" s="1"/>
  <c r="C13" i="1"/>
  <c r="C20" i="1"/>
  <c r="K14" i="1"/>
  <c r="D35" i="7"/>
  <c r="K18" i="1"/>
  <c r="D39" i="7"/>
  <c r="AB13" i="1"/>
  <c r="AB25" i="1" s="1"/>
  <c r="K19" i="1"/>
  <c r="K24" i="1"/>
  <c r="E45" i="7"/>
  <c r="O25" i="7"/>
  <c r="M25" i="1"/>
  <c r="L25" i="7"/>
  <c r="G25" i="7"/>
  <c r="H13" i="7" s="1"/>
  <c r="D46" i="1"/>
  <c r="D40" i="7"/>
  <c r="B25" i="7"/>
  <c r="O35" i="1"/>
  <c r="J25" i="7"/>
  <c r="K15" i="7" s="1"/>
  <c r="E25" i="7"/>
  <c r="F24" i="7" s="1"/>
  <c r="E41" i="7"/>
  <c r="D41" i="7"/>
  <c r="AE25" i="7"/>
  <c r="O40" i="4"/>
  <c r="P34" i="4" s="1"/>
  <c r="N40" i="6"/>
  <c r="R25" i="7"/>
  <c r="N40" i="1"/>
  <c r="M37" i="1"/>
  <c r="L40" i="5"/>
  <c r="M34" i="5" s="1"/>
  <c r="AB25" i="7"/>
  <c r="F37" i="6"/>
  <c r="D45" i="7"/>
  <c r="E37" i="7"/>
  <c r="F37" i="7" s="1"/>
  <c r="B37" i="7"/>
  <c r="C37" i="7" s="1"/>
  <c r="Z14" i="7"/>
  <c r="Z25" i="7" s="1"/>
  <c r="P18" i="7"/>
  <c r="AD25" i="7"/>
  <c r="O38" i="7" s="1"/>
  <c r="P38" i="7" s="1"/>
  <c r="Y25" i="7"/>
  <c r="O39" i="7" s="1"/>
  <c r="P39" i="7" s="1"/>
  <c r="E46" i="5"/>
  <c r="X25" i="7"/>
  <c r="N39" i="7" s="1"/>
  <c r="E43" i="7"/>
  <c r="D34" i="7"/>
  <c r="B35" i="7"/>
  <c r="B46" i="4"/>
  <c r="C40" i="4" s="1"/>
  <c r="B46" i="6"/>
  <c r="C35" i="6" s="1"/>
  <c r="E46" i="1"/>
  <c r="F43" i="1" s="1"/>
  <c r="F36" i="4"/>
  <c r="B41" i="7"/>
  <c r="B42" i="7"/>
  <c r="V25" i="7"/>
  <c r="L39" i="7" s="1"/>
  <c r="B46" i="1"/>
  <c r="B43" i="7"/>
  <c r="E44" i="7"/>
  <c r="F44" i="7" s="1"/>
  <c r="AA25" i="7"/>
  <c r="L38" i="7" s="1"/>
  <c r="M38" i="7" s="1"/>
  <c r="E42" i="7"/>
  <c r="Q25" i="7"/>
  <c r="L37" i="7" s="1"/>
  <c r="M37" i="7" s="1"/>
  <c r="B34" i="7"/>
  <c r="K25" i="5" l="1"/>
  <c r="F34" i="5"/>
  <c r="F35" i="5"/>
  <c r="F42" i="6"/>
  <c r="H15" i="7"/>
  <c r="C42" i="6"/>
  <c r="F36" i="6"/>
  <c r="C36" i="6"/>
  <c r="O40" i="6"/>
  <c r="P36" i="6" s="1"/>
  <c r="C34" i="6"/>
  <c r="K25" i="6"/>
  <c r="F41" i="6"/>
  <c r="F34" i="6"/>
  <c r="F39" i="6"/>
  <c r="C41" i="6"/>
  <c r="C39" i="6"/>
  <c r="M36" i="6"/>
  <c r="M35" i="6"/>
  <c r="F42" i="5"/>
  <c r="C36" i="5"/>
  <c r="C42" i="5"/>
  <c r="P36" i="5"/>
  <c r="F40" i="5"/>
  <c r="F36" i="5"/>
  <c r="P21" i="7"/>
  <c r="P15" i="7"/>
  <c r="M21" i="7"/>
  <c r="M15" i="7"/>
  <c r="M36" i="5"/>
  <c r="F39" i="5"/>
  <c r="C40" i="5"/>
  <c r="C39" i="5"/>
  <c r="F41" i="5"/>
  <c r="F45" i="5"/>
  <c r="C22" i="7"/>
  <c r="C24" i="7"/>
  <c r="C41" i="5"/>
  <c r="C45" i="5"/>
  <c r="M35" i="5"/>
  <c r="P35" i="5"/>
  <c r="K25" i="4"/>
  <c r="F42" i="4"/>
  <c r="F40" i="4"/>
  <c r="P25" i="4"/>
  <c r="C43" i="4"/>
  <c r="C42" i="4"/>
  <c r="C14" i="7"/>
  <c r="C34" i="4"/>
  <c r="H25" i="4"/>
  <c r="H22" i="7"/>
  <c r="F43" i="4"/>
  <c r="F35" i="4"/>
  <c r="F21" i="7"/>
  <c r="F14" i="7"/>
  <c r="F25" i="4"/>
  <c r="C35" i="4"/>
  <c r="K21" i="7"/>
  <c r="K22" i="7"/>
  <c r="F22" i="7"/>
  <c r="C35" i="1"/>
  <c r="C43" i="1"/>
  <c r="F41" i="4"/>
  <c r="F45" i="4"/>
  <c r="P36" i="4"/>
  <c r="C41" i="4"/>
  <c r="C45" i="4"/>
  <c r="O36" i="7"/>
  <c r="P20" i="7"/>
  <c r="M35" i="4"/>
  <c r="M36" i="4"/>
  <c r="M20" i="7"/>
  <c r="P35" i="4"/>
  <c r="M34" i="4"/>
  <c r="H25" i="1"/>
  <c r="F25" i="1"/>
  <c r="K25" i="1"/>
  <c r="K13" i="7"/>
  <c r="H21" i="7"/>
  <c r="F41" i="1"/>
  <c r="F42" i="1"/>
  <c r="C13" i="7"/>
  <c r="C21" i="7"/>
  <c r="C42" i="1"/>
  <c r="C25" i="1"/>
  <c r="O34" i="7"/>
  <c r="F13" i="7"/>
  <c r="F34" i="1"/>
  <c r="O40" i="1"/>
  <c r="P34" i="1" s="1"/>
  <c r="K19" i="7"/>
  <c r="K14" i="7"/>
  <c r="F35" i="1"/>
  <c r="H18" i="7"/>
  <c r="H14" i="7"/>
  <c r="O35" i="7"/>
  <c r="K18" i="7"/>
  <c r="F39" i="1"/>
  <c r="C34" i="1"/>
  <c r="C39" i="1"/>
  <c r="M39" i="1"/>
  <c r="W13" i="7"/>
  <c r="W25" i="7" s="1"/>
  <c r="F45" i="1"/>
  <c r="K24" i="7"/>
  <c r="P24" i="7"/>
  <c r="L36" i="7"/>
  <c r="M24" i="7"/>
  <c r="C41" i="1"/>
  <c r="C45" i="1"/>
  <c r="H20" i="7"/>
  <c r="H24" i="7"/>
  <c r="H19" i="7"/>
  <c r="L35" i="7"/>
  <c r="F40" i="1"/>
  <c r="C40" i="1"/>
  <c r="M34" i="1"/>
  <c r="M35" i="1"/>
  <c r="L34" i="7"/>
  <c r="C20" i="7"/>
  <c r="K20" i="7"/>
  <c r="F20" i="7"/>
  <c r="B46" i="7"/>
  <c r="C39" i="7" s="1"/>
  <c r="E46" i="7"/>
  <c r="F42" i="7" s="1"/>
  <c r="P34" i="6" l="1"/>
  <c r="F46" i="6"/>
  <c r="P35" i="6"/>
  <c r="C46" i="6"/>
  <c r="M40" i="6"/>
  <c r="P40" i="5"/>
  <c r="F36" i="7"/>
  <c r="P25" i="7"/>
  <c r="C36" i="7"/>
  <c r="M40" i="5"/>
  <c r="F46" i="5"/>
  <c r="C46" i="5"/>
  <c r="F46" i="4"/>
  <c r="C43" i="7"/>
  <c r="F43" i="7"/>
  <c r="P40" i="4"/>
  <c r="C46" i="4"/>
  <c r="M40" i="4"/>
  <c r="M25" i="7"/>
  <c r="M40" i="1"/>
  <c r="F25" i="7"/>
  <c r="H25" i="7"/>
  <c r="C42" i="7"/>
  <c r="O40" i="7"/>
  <c r="P34" i="7" s="1"/>
  <c r="C25" i="7"/>
  <c r="K25" i="7"/>
  <c r="F35" i="7"/>
  <c r="F34" i="7"/>
  <c r="P35" i="1"/>
  <c r="P36" i="1"/>
  <c r="F46" i="1"/>
  <c r="C35" i="7"/>
  <c r="C41" i="7"/>
  <c r="F45" i="7"/>
  <c r="F39" i="7"/>
  <c r="C34" i="7"/>
  <c r="L40" i="7"/>
  <c r="M34" i="7" s="1"/>
  <c r="C40" i="7"/>
  <c r="C45" i="7"/>
  <c r="C46" i="1"/>
  <c r="F41" i="7"/>
  <c r="F40" i="7"/>
  <c r="P40" i="6" l="1"/>
  <c r="P35" i="7"/>
  <c r="P36" i="7"/>
  <c r="P40" i="1"/>
  <c r="C46" i="7"/>
  <c r="M35" i="7"/>
  <c r="M39" i="7"/>
  <c r="M36" i="7"/>
  <c r="F46" i="7"/>
  <c r="P40" i="7" l="1"/>
  <c r="M40" i="7"/>
  <c r="I21" i="7" l="1"/>
  <c r="D42" i="7" s="1"/>
  <c r="D46" i="7" s="1"/>
  <c r="I25" i="4"/>
  <c r="N35" i="4" s="1"/>
  <c r="N40" i="4" s="1"/>
  <c r="D42" i="4"/>
  <c r="D46" i="4" s="1"/>
  <c r="I25" i="7" l="1"/>
  <c r="N35" i="7" s="1"/>
  <c r="N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<sst xmlns="http://schemas.openxmlformats.org/spreadsheetml/2006/main" count="457" uniqueCount="62">
  <si>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</si>
  <si>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</si>
  <si>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</si>
  <si>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</si>
  <si>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</si>
  <si>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</si>
  <si>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</si>
  <si>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</si>
  <si>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</si>
  <si>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</si>
  <si>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</si>
  <si>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</si>
  <si>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</si>
  <si>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</si>
  <si>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</si>
  <si>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</si>
  <si>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</si>
  <si>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</si>
  <si>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</si>
  <si>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</si>
  <si>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</si>
  <si>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</si>
  <si>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</si>
  <si>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</si>
  <si>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</si>
  <si>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</si>
  <si>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</si>
  <si>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</si>
  <si>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</si>
  <si>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</si>
  <si>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</si>
  <si>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</si>
  <si>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</si>
  <si>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</si>
  <si>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</si>
  <si>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</si>
  <si>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</si>
  <si>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</si>
  <si>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</si>
  <si>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</si>
  <si>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</si>
  <si>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</si>
  <si>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</si>
  <si>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</si>
  <si>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</si>
  <si>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</si>
  <si>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</si>
  <si>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</si>
  <si>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</si>
  <si>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</si>
  <si>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</si>
  <si>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</si>
  <si>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</si>
  <si>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</si>
  <si>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</si>
  <si>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</si>
  <si>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</si>
  <si>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</si>
  <si>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</si>
  <si>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</si>
  <si>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</si>
  <si>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MUNICIPAL DE L'HABITATGE I LA REHABILITACIÓ DE BARCELONA (IMHAB)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</si>
</sst>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60-4C4A-A3B9-1D19063BB77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60-4C4A-A3B9-1D19063BB77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0-4C4A-A3B9-1D19063BB77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0-4C4A-A3B9-1D19063BB77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60-4C4A-A3B9-1D19063BB77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60-4C4A-A3B9-1D19063BB77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60-4C4A-A3B9-1D19063BB77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60-4C4A-A3B9-1D19063BB77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60-4C4A-A3B9-1D19063BB77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60-4C4A-A3B9-1D19063BB77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54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15</c:v>
                </c:pt>
                <c:pt idx="7">
                  <c:v>138</c:v>
                </c:pt>
                <c:pt idx="8">
                  <c:v>1675</c:v>
                </c:pt>
                <c:pt idx="9">
                  <c:v>2</c:v>
                </c:pt>
                <c:pt idx="10">
                  <c:v>0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160-4C4A-A3B9-1D19063BB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F-46E1-9043-A4493871F0DA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BF-46E1-9043-A4493871F0DA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BF-46E1-9043-A4493871F0DA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BF-46E1-9043-A4493871F0DA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BF-46E1-9043-A4493871F0DA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BF-46E1-9043-A4493871F0DA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BF-46E1-9043-A4493871F0DA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BF-46E1-9043-A4493871F0DA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BF-46E1-9043-A4493871F0DA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BF-46E1-9043-A4493871F0D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208299749.458</c:v>
                </c:pt>
                <c:pt idx="1">
                  <c:v>1288334.2157999999</c:v>
                </c:pt>
                <c:pt idx="2">
                  <c:v>111002.97999999998</c:v>
                </c:pt>
                <c:pt idx="3">
                  <c:v>0</c:v>
                </c:pt>
                <c:pt idx="4">
                  <c:v>0</c:v>
                </c:pt>
                <c:pt idx="5">
                  <c:v>2904997.56</c:v>
                </c:pt>
                <c:pt idx="6">
                  <c:v>33433.21</c:v>
                </c:pt>
                <c:pt idx="7">
                  <c:v>1943897.9886</c:v>
                </c:pt>
                <c:pt idx="8">
                  <c:v>4615406.8500000006</c:v>
                </c:pt>
                <c:pt idx="9">
                  <c:v>270912.36</c:v>
                </c:pt>
                <c:pt idx="10">
                  <c:v>0</c:v>
                </c:pt>
                <c:pt idx="11">
                  <c:v>719233.88639999996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9BF-46E1-9043-A4493871F0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9B-404F-B0F1-921F83802D17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9B-404F-B0F1-921F83802D17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9B-404F-B0F1-921F83802D17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9B-404F-B0F1-921F83802D1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43</c:v>
                </c:pt>
                <c:pt idx="1">
                  <c:v>1612</c:v>
                </c:pt>
                <c:pt idx="2">
                  <c:v>262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9B-404F-B0F1-921F83802D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4B-441A-9578-19295915596E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4B-441A-9578-19295915596E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4B-441A-9578-19295915596E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B-441A-9578-19295915596E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4B-441A-9578-19295915596E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4B-441A-9578-19295915596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179542956.8624</c:v>
                </c:pt>
                <c:pt idx="1">
                  <c:v>39029438.210000001</c:v>
                </c:pt>
                <c:pt idx="2">
                  <c:v>1614573.4364000002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54B-441A-9578-1929591559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9" zoomScale="90" zoomScaleNormal="90" workbookViewId="0">
      <selection activeCell="E45" sqref="E4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f>1+3</f>
        <v>4</v>
      </c>
      <c r="C13" s="20">
        <f t="shared" ref="C13:C24" si="0">IF(B13,B13/$B$25,"")</f>
        <v>0.33333333333333331</v>
      </c>
      <c r="D13" s="4">
        <f>4047778.12+29416941.2</f>
        <v>33464719.32</v>
      </c>
      <c r="E13" s="5">
        <f>4452555.93+32358635.32</f>
        <v>36811191.25</v>
      </c>
      <c r="F13" s="21">
        <f t="shared" ref="F13:F24" si="1">IF(E13,E13/$E$25,"")</f>
        <v>0.99171796734564999</v>
      </c>
      <c r="G13" s="1">
        <f>3+21</f>
        <v>24</v>
      </c>
      <c r="H13" s="20">
        <f t="shared" ref="H13:H24" si="2">IF(G13,G13/$G$25,"")</f>
        <v>6.6852367688022288E-2</v>
      </c>
      <c r="I13" s="4">
        <f>417918.19+16975894.69</f>
        <v>17393812.880000003</v>
      </c>
      <c r="J13" s="5">
        <f>442068.19+20219918.73</f>
        <v>20661986.920000002</v>
      </c>
      <c r="K13" s="21">
        <f t="shared" ref="K13:K24" si="3">IF(J13,J13/$J$25,"")</f>
        <v>0.87462095166660991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>
        <v>1</v>
      </c>
      <c r="AB13" s="20">
        <f t="shared" ref="AB13:AB24" si="10">IF(AA13,AA13/$AA$25,"")</f>
        <v>1</v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2.7855153203342618E-3</v>
      </c>
      <c r="I14" s="6">
        <v>67600</v>
      </c>
      <c r="J14" s="7">
        <v>81796</v>
      </c>
      <c r="K14" s="21">
        <f t="shared" si="3"/>
        <v>3.4624209007350403E-3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8</v>
      </c>
      <c r="H18" s="66">
        <f t="shared" si="2"/>
        <v>2.2284122562674095E-2</v>
      </c>
      <c r="I18" s="69">
        <v>1460119.64</v>
      </c>
      <c r="J18" s="70">
        <v>1766744.76</v>
      </c>
      <c r="K18" s="67">
        <f t="shared" si="3"/>
        <v>7.4786224060933451E-2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1.6713091922005572E-2</v>
      </c>
      <c r="I19" s="6">
        <v>7855.46</v>
      </c>
      <c r="J19" s="7">
        <v>9505.11</v>
      </c>
      <c r="K19" s="21">
        <f t="shared" si="3"/>
        <v>4.0235086713024645E-4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7</v>
      </c>
      <c r="C20" s="66">
        <f t="shared" si="0"/>
        <v>0.58333333333333337</v>
      </c>
      <c r="D20" s="69">
        <v>202101.4</v>
      </c>
      <c r="E20" s="70">
        <v>244542.69</v>
      </c>
      <c r="F20" s="21">
        <f t="shared" si="1"/>
        <v>6.5881426604480616E-3</v>
      </c>
      <c r="G20" s="68">
        <v>29</v>
      </c>
      <c r="H20" s="66">
        <f t="shared" si="2"/>
        <v>8.0779944289693595E-2</v>
      </c>
      <c r="I20" s="69">
        <v>259891.67</v>
      </c>
      <c r="J20" s="70">
        <v>330180.46999999997</v>
      </c>
      <c r="K20" s="67">
        <f t="shared" si="3"/>
        <v>1.397652403959263E-2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>
        <v>1</v>
      </c>
      <c r="C21" s="20">
        <f t="shared" si="0"/>
        <v>8.3333333333333329E-2</v>
      </c>
      <c r="D21" s="6">
        <v>51962.67768595041</v>
      </c>
      <c r="E21" s="7">
        <v>62874.84</v>
      </c>
      <c r="F21" s="21">
        <f t="shared" si="1"/>
        <v>1.6938899939018671E-3</v>
      </c>
      <c r="G21" s="2">
        <v>287</v>
      </c>
      <c r="H21" s="20">
        <f t="shared" si="2"/>
        <v>0.79944289693593318</v>
      </c>
      <c r="I21" s="98">
        <v>492381.98347107437</v>
      </c>
      <c r="J21" s="98">
        <v>595782.19999999995</v>
      </c>
      <c r="K21" s="21">
        <f t="shared" si="3"/>
        <v>2.5219432998751817E-2</v>
      </c>
      <c r="L21" s="2">
        <v>61</v>
      </c>
      <c r="M21" s="20">
        <f t="shared" si="4"/>
        <v>0.9838709677419355</v>
      </c>
      <c r="N21" s="6">
        <v>152394.80165289255</v>
      </c>
      <c r="O21" s="7">
        <v>184397.71</v>
      </c>
      <c r="P21" s="21">
        <f t="shared" si="5"/>
        <v>0.74567328580486503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>
        <v>4</v>
      </c>
      <c r="H24" s="66">
        <f t="shared" si="2"/>
        <v>1.1142061281337047E-2</v>
      </c>
      <c r="I24" s="69">
        <v>147055.97</v>
      </c>
      <c r="J24" s="70">
        <v>177937.72</v>
      </c>
      <c r="K24" s="67">
        <f t="shared" si="3"/>
        <v>7.5320954662469967E-3</v>
      </c>
      <c r="L24" s="68">
        <v>1</v>
      </c>
      <c r="M24" s="66">
        <f t="shared" si="4"/>
        <v>1.6129032258064516E-2</v>
      </c>
      <c r="N24" s="69">
        <v>51977.279999999999</v>
      </c>
      <c r="O24" s="70">
        <v>62892.508799999996</v>
      </c>
      <c r="P24" s="67">
        <f t="shared" si="5"/>
        <v>0.25432671419513503</v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12</v>
      </c>
      <c r="C25" s="17">
        <f t="shared" si="12"/>
        <v>1</v>
      </c>
      <c r="D25" s="18">
        <f t="shared" si="12"/>
        <v>33718783.397685952</v>
      </c>
      <c r="E25" s="18">
        <f t="shared" si="12"/>
        <v>37118608.780000001</v>
      </c>
      <c r="F25" s="19">
        <f t="shared" si="12"/>
        <v>0.99999999999999989</v>
      </c>
      <c r="G25" s="16">
        <f t="shared" si="12"/>
        <v>359</v>
      </c>
      <c r="H25" s="17">
        <f t="shared" si="12"/>
        <v>1</v>
      </c>
      <c r="I25" s="18">
        <f t="shared" si="12"/>
        <v>19828717.603471078</v>
      </c>
      <c r="J25" s="18">
        <f t="shared" si="12"/>
        <v>23623933.18</v>
      </c>
      <c r="K25" s="19">
        <f t="shared" si="12"/>
        <v>1</v>
      </c>
      <c r="L25" s="16">
        <f t="shared" si="12"/>
        <v>62</v>
      </c>
      <c r="M25" s="17">
        <f t="shared" si="12"/>
        <v>1</v>
      </c>
      <c r="N25" s="18">
        <f t="shared" si="12"/>
        <v>204372.08165289255</v>
      </c>
      <c r="O25" s="18">
        <f t="shared" si="12"/>
        <v>247290.21879999997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29</v>
      </c>
      <c r="C34" s="8">
        <f t="shared" ref="C34:C43" si="14">IF(B34,B34/$B$46,"")</f>
        <v>6.6820276497695855E-2</v>
      </c>
      <c r="D34" s="10">
        <f t="shared" ref="D34:D45" si="15">D13+I13+N13+S13+AC13+X13</f>
        <v>50858532.200000003</v>
      </c>
      <c r="E34" s="11">
        <f t="shared" ref="E34:E45" si="16">E13+J13+O13+T13+AD13+Y13</f>
        <v>57473178.170000002</v>
      </c>
      <c r="F34" s="21">
        <f t="shared" ref="F34:F43" si="17">IF(E34,E34/$E$46,"")</f>
        <v>0.94234032324452965</v>
      </c>
      <c r="J34" s="149" t="s">
        <v>3</v>
      </c>
      <c r="K34" s="150"/>
      <c r="L34" s="57">
        <f>B25</f>
        <v>12</v>
      </c>
      <c r="M34" s="8">
        <f t="shared" ref="M34:M39" si="18">IF(L34,L34/$L$40,"")</f>
        <v>2.7649769585253458E-2</v>
      </c>
      <c r="N34" s="58">
        <f>D25</f>
        <v>33718783.397685952</v>
      </c>
      <c r="O34" s="58">
        <f>E25</f>
        <v>37118608.780000001</v>
      </c>
      <c r="P34" s="59">
        <f t="shared" ref="P34:P39" si="19">IF(O34,O34/$O$40,"")</f>
        <v>0.60860322866903027</v>
      </c>
    </row>
    <row r="35" spans="1:33" s="25" customFormat="1" ht="30" customHeight="1" x14ac:dyDescent="0.25">
      <c r="A35" s="43" t="s">
        <v>18</v>
      </c>
      <c r="B35" s="12">
        <f t="shared" si="13"/>
        <v>1</v>
      </c>
      <c r="C35" s="8">
        <f t="shared" si="14"/>
        <v>2.304147465437788E-3</v>
      </c>
      <c r="D35" s="13">
        <f t="shared" si="15"/>
        <v>67600</v>
      </c>
      <c r="E35" s="14">
        <f t="shared" si="16"/>
        <v>81796</v>
      </c>
      <c r="F35" s="21">
        <f t="shared" si="17"/>
        <v>1.3411415817673328E-3</v>
      </c>
      <c r="J35" s="145" t="s">
        <v>1</v>
      </c>
      <c r="K35" s="146"/>
      <c r="L35" s="60">
        <f>G25</f>
        <v>359</v>
      </c>
      <c r="M35" s="8">
        <f t="shared" si="18"/>
        <v>0.82718894009216593</v>
      </c>
      <c r="N35" s="61">
        <f>I25</f>
        <v>19828717.603471078</v>
      </c>
      <c r="O35" s="61">
        <f>J25</f>
        <v>23623933.18</v>
      </c>
      <c r="P35" s="59">
        <f t="shared" si="19"/>
        <v>0.38734215747213768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62</v>
      </c>
      <c r="M36" s="8">
        <f t="shared" si="18"/>
        <v>0.14285714285714285</v>
      </c>
      <c r="N36" s="61">
        <f>N25</f>
        <v>204372.08165289255</v>
      </c>
      <c r="O36" s="61">
        <f>O25</f>
        <v>247290.21879999997</v>
      </c>
      <c r="P36" s="59">
        <f t="shared" si="19"/>
        <v>4.0546138588319937E-3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8</v>
      </c>
      <c r="C39" s="8">
        <f t="shared" si="14"/>
        <v>1.8433179723502304E-2</v>
      </c>
      <c r="D39" s="13">
        <f t="shared" si="15"/>
        <v>1460119.64</v>
      </c>
      <c r="E39" s="22">
        <f t="shared" si="16"/>
        <v>1766744.76</v>
      </c>
      <c r="F39" s="21">
        <f t="shared" si="17"/>
        <v>2.896785737695666E-2</v>
      </c>
      <c r="G39" s="25"/>
      <c r="J39" s="145" t="s">
        <v>4</v>
      </c>
      <c r="K39" s="146"/>
      <c r="L39" s="60">
        <f>AA25</f>
        <v>1</v>
      </c>
      <c r="M39" s="8">
        <f t="shared" si="18"/>
        <v>2.304147465437788E-3</v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6</v>
      </c>
      <c r="C40" s="8">
        <f t="shared" si="14"/>
        <v>1.3824884792626729E-2</v>
      </c>
      <c r="D40" s="13">
        <f t="shared" si="15"/>
        <v>7855.46</v>
      </c>
      <c r="E40" s="23">
        <f t="shared" si="16"/>
        <v>9505.11</v>
      </c>
      <c r="F40" s="21">
        <f t="shared" si="17"/>
        <v>1.558474529350151E-4</v>
      </c>
      <c r="G40" s="25"/>
      <c r="J40" s="147" t="s">
        <v>0</v>
      </c>
      <c r="K40" s="148"/>
      <c r="L40" s="83">
        <f>SUM(L34:L39)</f>
        <v>434</v>
      </c>
      <c r="M40" s="17">
        <f>SUM(M34:M39)</f>
        <v>1</v>
      </c>
      <c r="N40" s="84">
        <f>SUM(N34:N39)</f>
        <v>53751873.082809925</v>
      </c>
      <c r="O40" s="85">
        <f>SUM(O34:O39)</f>
        <v>60989832.178800002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36</v>
      </c>
      <c r="C41" s="8">
        <f t="shared" si="14"/>
        <v>8.294930875576037E-2</v>
      </c>
      <c r="D41" s="13">
        <f t="shared" si="15"/>
        <v>461993.07</v>
      </c>
      <c r="E41" s="23">
        <f t="shared" si="16"/>
        <v>574723.15999999992</v>
      </c>
      <c r="F41" s="21">
        <f t="shared" si="17"/>
        <v>9.4232618695378727E-3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349</v>
      </c>
      <c r="C42" s="8">
        <f t="shared" si="14"/>
        <v>0.80414746543778803</v>
      </c>
      <c r="D42" s="13">
        <f t="shared" si="15"/>
        <v>696739.46280991728</v>
      </c>
      <c r="E42" s="14">
        <f t="shared" si="16"/>
        <v>843054.74999999988</v>
      </c>
      <c r="F42" s="21">
        <f t="shared" si="17"/>
        <v>1.3822873746044588E-2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5</v>
      </c>
      <c r="C45" s="8">
        <f t="shared" ref="C45" si="22">IF(B45,B45/$B$46,"")</f>
        <v>1.1520737327188941E-2</v>
      </c>
      <c r="D45" s="13">
        <f t="shared" si="15"/>
        <v>199033.25</v>
      </c>
      <c r="E45" s="14">
        <f t="shared" si="16"/>
        <v>240830.22879999998</v>
      </c>
      <c r="F45" s="21">
        <f t="shared" ref="F45" si="23">IF(E45,E45/$E$46,"")</f>
        <v>3.948694728229017E-3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434</v>
      </c>
      <c r="C46" s="17">
        <f>SUM(C34:C45)</f>
        <v>1</v>
      </c>
      <c r="D46" s="18">
        <f>SUM(D34:D45)</f>
        <v>53751873.082809925</v>
      </c>
      <c r="E46" s="18">
        <f>SUM(E34:E45)</f>
        <v>60989832.178799994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O24" sqref="O2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44460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3</v>
      </c>
      <c r="C13" s="20">
        <f t="shared" ref="C13:C21" si="0">IF(B13,B13/$B$25,"")</f>
        <v>0.3</v>
      </c>
      <c r="D13" s="4">
        <v>40482989.380000003</v>
      </c>
      <c r="E13" s="5">
        <v>44531288.318000004</v>
      </c>
      <c r="F13" s="21">
        <f t="shared" ref="F13:F24" si="1">IF(E13,E13/$E$25,"")</f>
        <v>0.98608696632480775</v>
      </c>
      <c r="G13" s="1">
        <v>5</v>
      </c>
      <c r="H13" s="20">
        <f t="shared" ref="H13:H21" si="2">IF(G13,G13/$G$25,"")</f>
        <v>1.1820330969267139E-2</v>
      </c>
      <c r="I13" s="4">
        <v>6217567.1399999997</v>
      </c>
      <c r="J13" s="5">
        <v>7523256.2400000002</v>
      </c>
      <c r="K13" s="21">
        <f t="shared" ref="K13:K21" si="3">IF(J13,J13/$J$25,"")</f>
        <v>0.79149856434330967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>
        <v>2</v>
      </c>
      <c r="C14" s="20">
        <f t="shared" si="0"/>
        <v>0.2</v>
      </c>
      <c r="D14" s="6">
        <v>407301.04</v>
      </c>
      <c r="E14" s="7">
        <v>492834.26</v>
      </c>
      <c r="F14" s="21">
        <f t="shared" si="1"/>
        <v>1.0913168217230635E-2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</v>
      </c>
      <c r="H19" s="20">
        <f t="shared" si="2"/>
        <v>1.8912529550827423E-2</v>
      </c>
      <c r="I19" s="6">
        <v>19568.223140495869</v>
      </c>
      <c r="J19" s="7">
        <v>23677.549999999996</v>
      </c>
      <c r="K19" s="21">
        <f t="shared" si="3"/>
        <v>2.4910419417226879E-3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5</v>
      </c>
      <c r="C20" s="66">
        <f t="shared" si="0"/>
        <v>0.5</v>
      </c>
      <c r="D20" s="69">
        <v>111960.92</v>
      </c>
      <c r="E20" s="70">
        <v>135472.71</v>
      </c>
      <c r="F20" s="21">
        <f t="shared" si="1"/>
        <v>2.9998654579616742E-3</v>
      </c>
      <c r="G20" s="68">
        <v>32</v>
      </c>
      <c r="H20" s="66">
        <f t="shared" si="2"/>
        <v>7.5650118203309691E-2</v>
      </c>
      <c r="I20" s="69">
        <v>279503.15999999997</v>
      </c>
      <c r="J20" s="70">
        <v>338198.83</v>
      </c>
      <c r="K20" s="21">
        <f t="shared" si="3"/>
        <v>3.5580854867650641E-2</v>
      </c>
      <c r="L20" s="68">
        <v>1</v>
      </c>
      <c r="M20" s="66">
        <f t="shared" si="4"/>
        <v>1.2500000000000001E-2</v>
      </c>
      <c r="N20" s="69">
        <v>14415.24</v>
      </c>
      <c r="O20" s="70">
        <v>17442.439999999999</v>
      </c>
      <c r="P20" s="67">
        <f t="shared" si="5"/>
        <v>1.6645606850141877E-2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372</v>
      </c>
      <c r="H21" s="20">
        <f t="shared" si="2"/>
        <v>0.87943262411347523</v>
      </c>
      <c r="I21" s="6">
        <f>+J21/1.21</f>
        <v>759266.63636363635</v>
      </c>
      <c r="J21" s="7">
        <v>918712.63</v>
      </c>
      <c r="K21" s="21">
        <f t="shared" si="3"/>
        <v>9.665491969060809E-2</v>
      </c>
      <c r="L21" s="2">
        <v>78</v>
      </c>
      <c r="M21" s="20">
        <f t="shared" si="4"/>
        <v>0.97499999999999998</v>
      </c>
      <c r="N21" s="6">
        <f>+O21/1.21</f>
        <v>823755.85950413218</v>
      </c>
      <c r="O21" s="7">
        <v>996744.59</v>
      </c>
      <c r="P21" s="21">
        <f t="shared" si="5"/>
        <v>0.95120972611319621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>
        <v>2</v>
      </c>
      <c r="H22" s="20">
        <f t="shared" ref="H22:H23" si="13">IF(G22,G22/$G$25,"")</f>
        <v>4.7281323877068557E-3</v>
      </c>
      <c r="I22" s="6">
        <f>44258.67+179635.84</f>
        <v>223894.51</v>
      </c>
      <c r="J22" s="7">
        <f>53552.99+217359.37</f>
        <v>270912.36</v>
      </c>
      <c r="K22" s="21">
        <f t="shared" ref="K22:K23" si="14">IF(J22,J22/$J$25,"")</f>
        <v>2.8501853075638142E-2</v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>
        <f>1+2+1</f>
        <v>4</v>
      </c>
      <c r="H24" s="66">
        <f t="shared" ref="H24" si="23">IF(G24,G24/$G$25,"")</f>
        <v>9.4562647754137114E-3</v>
      </c>
      <c r="I24" s="69">
        <f>133000+155637.36+67000</f>
        <v>355637.36</v>
      </c>
      <c r="J24" s="70">
        <f>160930+188321.21+81070</f>
        <v>430321.20999999996</v>
      </c>
      <c r="K24" s="67">
        <f t="shared" ref="K24" si="24">IF(J24,J24/$J$25,"")</f>
        <v>4.5272766081070746E-2</v>
      </c>
      <c r="L24" s="68">
        <f>1</f>
        <v>1</v>
      </c>
      <c r="M24" s="66">
        <f t="shared" ref="M24" si="25">IF(L24,L24/$L$25,"")</f>
        <v>1.2500000000000001E-2</v>
      </c>
      <c r="N24" s="69">
        <v>27837.56</v>
      </c>
      <c r="O24" s="70">
        <v>33683.4476</v>
      </c>
      <c r="P24" s="67">
        <f t="shared" ref="P24" si="26">IF(O24,O24/$O$25,"")</f>
        <v>3.2144667036662015E-2</v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10</v>
      </c>
      <c r="C25" s="17">
        <f t="shared" si="32"/>
        <v>1</v>
      </c>
      <c r="D25" s="18">
        <f t="shared" si="32"/>
        <v>41002251.340000004</v>
      </c>
      <c r="E25" s="18">
        <f t="shared" si="32"/>
        <v>45159595.288000003</v>
      </c>
      <c r="F25" s="19">
        <f t="shared" si="32"/>
        <v>1</v>
      </c>
      <c r="G25" s="16">
        <f t="shared" si="32"/>
        <v>423</v>
      </c>
      <c r="H25" s="17">
        <f t="shared" si="32"/>
        <v>1</v>
      </c>
      <c r="I25" s="18">
        <f t="shared" si="32"/>
        <v>7855437.0295041325</v>
      </c>
      <c r="J25" s="18">
        <f t="shared" si="32"/>
        <v>9505078.8200000003</v>
      </c>
      <c r="K25" s="19">
        <f t="shared" si="32"/>
        <v>1</v>
      </c>
      <c r="L25" s="16">
        <f t="shared" si="32"/>
        <v>80</v>
      </c>
      <c r="M25" s="17">
        <f t="shared" si="32"/>
        <v>0.99999999999999989</v>
      </c>
      <c r="N25" s="18">
        <f t="shared" si="32"/>
        <v>866008.65950413223</v>
      </c>
      <c r="O25" s="18">
        <f t="shared" si="32"/>
        <v>1047870.4775999999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8</v>
      </c>
      <c r="C34" s="8">
        <f t="shared" ref="C34:C45" si="34">IF(B34,B34/$B$46,"")</f>
        <v>1.5594541910331383E-2</v>
      </c>
      <c r="D34" s="10">
        <f t="shared" ref="D34:D45" si="35">D13+I13+N13+S13+AC13+X13</f>
        <v>46700556.520000003</v>
      </c>
      <c r="E34" s="11">
        <f t="shared" ref="E34:E45" si="36">E13+J13+O13+T13+AD13+Y13</f>
        <v>52054544.558000006</v>
      </c>
      <c r="F34" s="21">
        <f t="shared" ref="F34:F42" si="37">IF(E34,E34/$E$46,"")</f>
        <v>0.9343415373537709</v>
      </c>
      <c r="J34" s="149" t="s">
        <v>3</v>
      </c>
      <c r="K34" s="150"/>
      <c r="L34" s="57">
        <f>B25</f>
        <v>10</v>
      </c>
      <c r="M34" s="8">
        <f t="shared" ref="M34:M39" si="38">IF(L34,L34/$L$40,"")</f>
        <v>1.9493177387914229E-2</v>
      </c>
      <c r="N34" s="58">
        <f>D25</f>
        <v>41002251.340000004</v>
      </c>
      <c r="O34" s="58">
        <f>E25</f>
        <v>45159595.288000003</v>
      </c>
      <c r="P34" s="59">
        <f t="shared" ref="P34:P39" si="39">IF(O34,O34/$O$40,"")</f>
        <v>0.81058217002840649</v>
      </c>
    </row>
    <row r="35" spans="1:33" s="25" customFormat="1" ht="30" customHeight="1" x14ac:dyDescent="0.25">
      <c r="A35" s="43" t="s">
        <v>18</v>
      </c>
      <c r="B35" s="12">
        <f t="shared" si="33"/>
        <v>2</v>
      </c>
      <c r="C35" s="8">
        <f t="shared" si="34"/>
        <v>3.8986354775828458E-3</v>
      </c>
      <c r="D35" s="13">
        <f t="shared" si="35"/>
        <v>407301.04</v>
      </c>
      <c r="E35" s="14">
        <f t="shared" si="36"/>
        <v>492834.26</v>
      </c>
      <c r="F35" s="21">
        <f t="shared" si="37"/>
        <v>8.8460195754078465E-3</v>
      </c>
      <c r="J35" s="145" t="s">
        <v>1</v>
      </c>
      <c r="K35" s="146"/>
      <c r="L35" s="60">
        <f>G25</f>
        <v>423</v>
      </c>
      <c r="M35" s="8">
        <f t="shared" si="38"/>
        <v>0.82456140350877194</v>
      </c>
      <c r="N35" s="61">
        <f>I25</f>
        <v>7855437.0295041325</v>
      </c>
      <c r="O35" s="61">
        <f>J25</f>
        <v>9505078.8200000003</v>
      </c>
      <c r="P35" s="59">
        <f t="shared" si="39"/>
        <v>0.17060931053680098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80</v>
      </c>
      <c r="M36" s="8">
        <f t="shared" si="38"/>
        <v>0.15594541910331383</v>
      </c>
      <c r="N36" s="61">
        <f>N25</f>
        <v>866008.65950413223</v>
      </c>
      <c r="O36" s="61">
        <f>O25</f>
        <v>1047870.4775999999</v>
      </c>
      <c r="P36" s="59">
        <f t="shared" si="39"/>
        <v>1.8808519434792472E-2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8</v>
      </c>
      <c r="C40" s="8">
        <f t="shared" si="34"/>
        <v>1.5594541910331383E-2</v>
      </c>
      <c r="D40" s="13">
        <f t="shared" si="35"/>
        <v>19568.223140495869</v>
      </c>
      <c r="E40" s="23">
        <f t="shared" si="36"/>
        <v>23677.549999999996</v>
      </c>
      <c r="F40" s="21">
        <f t="shared" si="37"/>
        <v>4.2499494819556177E-4</v>
      </c>
      <c r="G40" s="25"/>
      <c r="J40" s="147" t="s">
        <v>0</v>
      </c>
      <c r="K40" s="148"/>
      <c r="L40" s="83">
        <f>SUM(L34:L39)</f>
        <v>513</v>
      </c>
      <c r="M40" s="17">
        <f>SUM(M34:M39)</f>
        <v>1</v>
      </c>
      <c r="N40" s="84">
        <f>SUM(N34:N39)</f>
        <v>49723697.029008269</v>
      </c>
      <c r="O40" s="85">
        <f>SUM(O34:O39)</f>
        <v>55712544.585600004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38</v>
      </c>
      <c r="C41" s="8">
        <f t="shared" si="34"/>
        <v>7.407407407407407E-2</v>
      </c>
      <c r="D41" s="13">
        <f t="shared" si="35"/>
        <v>405879.31999999995</v>
      </c>
      <c r="E41" s="23">
        <f t="shared" si="36"/>
        <v>491113.98000000004</v>
      </c>
      <c r="F41" s="21">
        <f t="shared" si="37"/>
        <v>8.8151417899324982E-3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450</v>
      </c>
      <c r="C42" s="8">
        <f t="shared" si="34"/>
        <v>0.8771929824561403</v>
      </c>
      <c r="D42" s="13">
        <f t="shared" si="35"/>
        <v>1583022.4958677685</v>
      </c>
      <c r="E42" s="14">
        <f t="shared" si="36"/>
        <v>1915457.22</v>
      </c>
      <c r="F42" s="21">
        <f t="shared" si="37"/>
        <v>3.4381075828568197E-2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2</v>
      </c>
      <c r="C43" s="8">
        <f t="shared" si="34"/>
        <v>3.8986354775828458E-3</v>
      </c>
      <c r="D43" s="13">
        <f t="shared" si="35"/>
        <v>223894.51</v>
      </c>
      <c r="E43" s="14">
        <f t="shared" si="36"/>
        <v>270912.36</v>
      </c>
      <c r="F43" s="21">
        <f t="shared" ref="F43" si="40">IF(E43,E43/$E$46,"")</f>
        <v>4.8626815022558244E-3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5</v>
      </c>
      <c r="C45" s="8">
        <f t="shared" si="34"/>
        <v>9.7465886939571145E-3</v>
      </c>
      <c r="D45" s="13">
        <f t="shared" si="35"/>
        <v>383474.92</v>
      </c>
      <c r="E45" s="14">
        <f t="shared" si="36"/>
        <v>464004.65759999998</v>
      </c>
      <c r="F45" s="21">
        <f>IF(E45,E45/$E$46,"")</f>
        <v>8.3285490018693408E-3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513</v>
      </c>
      <c r="C46" s="17">
        <f>SUM(C34:C45)</f>
        <v>1</v>
      </c>
      <c r="D46" s="18">
        <f>SUM(D34:D45)</f>
        <v>49723697.029008262</v>
      </c>
      <c r="E46" s="18">
        <f>SUM(E34:E45)</f>
        <v>55712544.585599996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8" zoomScale="80" zoomScaleNormal="80" workbookViewId="0">
      <selection activeCell="J16" sqref="J16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6</v>
      </c>
      <c r="C13" s="20">
        <f t="shared" ref="C13:C23" si="0">IF(B13,B13/$B$25,"")</f>
        <v>0.46153846153846156</v>
      </c>
      <c r="D13" s="4">
        <v>60318341.990000002</v>
      </c>
      <c r="E13" s="5">
        <v>66446369.399999999</v>
      </c>
      <c r="F13" s="21">
        <f t="shared" ref="F13:F24" si="1">IF(E13,E13/$E$25,"")</f>
        <v>0.99876775929889672</v>
      </c>
      <c r="G13" s="1">
        <v>2</v>
      </c>
      <c r="H13" s="20">
        <f t="shared" ref="H13:H23" si="2">IF(G13,G13/$G$25,"")</f>
        <v>5.6980056980056983E-3</v>
      </c>
      <c r="I13" s="4">
        <v>96200.17</v>
      </c>
      <c r="J13" s="4">
        <v>96200.17</v>
      </c>
      <c r="K13" s="21">
        <f t="shared" ref="K13:K23" si="3">IF(J13,J13/$J$25,"")</f>
        <v>6.0676365440665229E-2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2.8490028490028491E-3</v>
      </c>
      <c r="I15" s="4">
        <v>28080</v>
      </c>
      <c r="J15" s="4">
        <f>+I15*1.21</f>
        <v>33976.799999999996</v>
      </c>
      <c r="K15" s="21">
        <f t="shared" si="3"/>
        <v>2.1430198442522443E-2</v>
      </c>
      <c r="L15" s="2">
        <v>1</v>
      </c>
      <c r="M15" s="20">
        <f t="shared" si="4"/>
        <v>2.1276595744680851E-2</v>
      </c>
      <c r="N15" s="69">
        <v>26558</v>
      </c>
      <c r="O15" s="70">
        <v>32135.18</v>
      </c>
      <c r="P15" s="21">
        <f t="shared" si="5"/>
        <v>0.25176455527472191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5.6980056980056983E-3</v>
      </c>
      <c r="I18" s="69">
        <v>242352.57</v>
      </c>
      <c r="J18" s="70">
        <v>293246.61</v>
      </c>
      <c r="K18" s="67">
        <f t="shared" si="3"/>
        <v>0.18495953253093247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2.8490028490028491E-3</v>
      </c>
      <c r="I19" s="69">
        <v>207.07</v>
      </c>
      <c r="J19" s="70">
        <v>250.55</v>
      </c>
      <c r="K19" s="21">
        <f t="shared" si="3"/>
        <v>1.5802948540692468E-4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0.15384615384615385</v>
      </c>
      <c r="D20" s="69">
        <v>55837.66</v>
      </c>
      <c r="E20" s="70">
        <v>67563.568599999999</v>
      </c>
      <c r="F20" s="21">
        <f t="shared" si="1"/>
        <v>1.0155605886400664E-3</v>
      </c>
      <c r="G20" s="68">
        <f>33+1</f>
        <v>34</v>
      </c>
      <c r="H20" s="66">
        <f t="shared" si="2"/>
        <v>9.686609686609686E-2</v>
      </c>
      <c r="I20" s="69">
        <f>374175.32+3900</f>
        <v>378075.32</v>
      </c>
      <c r="J20" s="70">
        <f>452752.14+4719</f>
        <v>457471.14</v>
      </c>
      <c r="K20" s="67">
        <f t="shared" si="3"/>
        <v>0.28854092533513948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>
        <v>5</v>
      </c>
      <c r="C21" s="20">
        <f t="shared" si="0"/>
        <v>0.38461538461538464</v>
      </c>
      <c r="D21" s="6">
        <v>11913.528925619836</v>
      </c>
      <c r="E21" s="7">
        <v>14415.37</v>
      </c>
      <c r="F21" s="21">
        <f t="shared" si="1"/>
        <v>2.1668011246321817E-4</v>
      </c>
      <c r="G21" s="2">
        <v>310</v>
      </c>
      <c r="H21" s="20">
        <f t="shared" si="2"/>
        <v>0.88319088319088324</v>
      </c>
      <c r="I21" s="6">
        <v>570181.28099173552</v>
      </c>
      <c r="J21" s="7">
        <v>689919.35</v>
      </c>
      <c r="K21" s="21">
        <f t="shared" si="3"/>
        <v>0.43515306267323872</v>
      </c>
      <c r="L21" s="2">
        <v>46</v>
      </c>
      <c r="M21" s="20">
        <f t="shared" si="4"/>
        <v>0.97872340425531912</v>
      </c>
      <c r="N21" s="6">
        <v>78929.446280991746</v>
      </c>
      <c r="O21" s="7">
        <v>95504.63</v>
      </c>
      <c r="P21" s="21">
        <f t="shared" si="5"/>
        <v>0.74823544472527814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>
        <f>+D24*1.21</f>
        <v>0</v>
      </c>
      <c r="F24" s="67" t="str">
        <f t="shared" si="1"/>
        <v/>
      </c>
      <c r="G24" s="68">
        <v>1</v>
      </c>
      <c r="H24" s="66">
        <f t="shared" ref="H24" si="13">IF(G24,G24/$G$25,"")</f>
        <v>2.8490028490028491E-3</v>
      </c>
      <c r="I24" s="69">
        <v>11900</v>
      </c>
      <c r="J24" s="70">
        <v>14399</v>
      </c>
      <c r="K24" s="67">
        <f t="shared" ref="K24" si="14">IF(J24,J24/$J$25,"")</f>
        <v>9.0818860920946261E-3</v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13</v>
      </c>
      <c r="C25" s="17">
        <f t="shared" si="22"/>
        <v>1</v>
      </c>
      <c r="D25" s="18">
        <f t="shared" si="22"/>
        <v>60386093.178925619</v>
      </c>
      <c r="E25" s="18">
        <f t="shared" si="22"/>
        <v>66528348.338599995</v>
      </c>
      <c r="F25" s="19">
        <f t="shared" si="22"/>
        <v>1</v>
      </c>
      <c r="G25" s="16">
        <f t="shared" si="22"/>
        <v>351</v>
      </c>
      <c r="H25" s="17">
        <f t="shared" si="22"/>
        <v>1</v>
      </c>
      <c r="I25" s="18">
        <f t="shared" si="22"/>
        <v>1326996.4109917355</v>
      </c>
      <c r="J25" s="18">
        <f t="shared" si="22"/>
        <v>1585463.62</v>
      </c>
      <c r="K25" s="19">
        <f t="shared" si="22"/>
        <v>0.99999999999999989</v>
      </c>
      <c r="L25" s="16">
        <f t="shared" si="22"/>
        <v>47</v>
      </c>
      <c r="M25" s="17">
        <f t="shared" si="22"/>
        <v>1</v>
      </c>
      <c r="N25" s="18">
        <f t="shared" si="22"/>
        <v>105487.44628099175</v>
      </c>
      <c r="O25" s="18">
        <f t="shared" si="22"/>
        <v>127639.81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8</v>
      </c>
      <c r="C34" s="8">
        <f t="shared" ref="C34:C42" si="24">IF(B34,B34/$B$46,"")</f>
        <v>1.9464720194647202E-2</v>
      </c>
      <c r="D34" s="10">
        <f t="shared" ref="D34:D45" si="25">D13+I13+N13+S13+AC13+X13</f>
        <v>60414542.160000004</v>
      </c>
      <c r="E34" s="11">
        <f t="shared" ref="E34:E45" si="26">E13+J13+O13+T13+AD13+Y13</f>
        <v>66542569.57</v>
      </c>
      <c r="F34" s="21">
        <f t="shared" ref="F34:F43" si="27">IF(E34,E34/$E$46,"")</f>
        <v>0.97510483504423784</v>
      </c>
      <c r="J34" s="149" t="s">
        <v>3</v>
      </c>
      <c r="K34" s="150"/>
      <c r="L34" s="57">
        <f>B25</f>
        <v>13</v>
      </c>
      <c r="M34" s="8">
        <f>IF(L34,L34/$L$40,"")</f>
        <v>3.1630170316301706E-2</v>
      </c>
      <c r="N34" s="58">
        <f>D25</f>
        <v>60386093.178925619</v>
      </c>
      <c r="O34" s="58">
        <f>E25</f>
        <v>66528348.338599995</v>
      </c>
      <c r="P34" s="59">
        <f>IF(O34,O34/$O$40,"")</f>
        <v>0.9748964392520697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351</v>
      </c>
      <c r="M35" s="8">
        <f>IF(L35,L35/$L$40,"")</f>
        <v>0.85401459854014594</v>
      </c>
      <c r="N35" s="61">
        <f>I25</f>
        <v>1326996.4109917355</v>
      </c>
      <c r="O35" s="61">
        <f>J25</f>
        <v>1585463.62</v>
      </c>
      <c r="P35" s="59">
        <f>IF(O35,O35/$O$40,"")</f>
        <v>2.3233146114419578E-2</v>
      </c>
    </row>
    <row r="36" spans="1:33" ht="30" customHeight="1" x14ac:dyDescent="0.25">
      <c r="A36" s="43" t="s">
        <v>19</v>
      </c>
      <c r="B36" s="12">
        <f t="shared" si="23"/>
        <v>2</v>
      </c>
      <c r="C36" s="8">
        <f t="shared" si="24"/>
        <v>4.8661800486618006E-3</v>
      </c>
      <c r="D36" s="13">
        <f t="shared" si="25"/>
        <v>54638</v>
      </c>
      <c r="E36" s="14">
        <f t="shared" si="26"/>
        <v>66111.98</v>
      </c>
      <c r="F36" s="21">
        <f t="shared" si="27"/>
        <v>9.6879504006126924E-4</v>
      </c>
      <c r="G36" s="25"/>
      <c r="J36" s="145" t="s">
        <v>2</v>
      </c>
      <c r="K36" s="146"/>
      <c r="L36" s="60">
        <f>L25</f>
        <v>47</v>
      </c>
      <c r="M36" s="8">
        <f>IF(L36,L36/$L$40,"")</f>
        <v>0.11435523114355231</v>
      </c>
      <c r="N36" s="61">
        <f>N25</f>
        <v>105487.44628099175</v>
      </c>
      <c r="O36" s="61">
        <f>O25</f>
        <v>127639.81</v>
      </c>
      <c r="P36" s="59">
        <f>IF(O36,O36/$O$40,"")</f>
        <v>1.8704146335106401E-3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2</v>
      </c>
      <c r="C39" s="8">
        <f t="shared" si="24"/>
        <v>4.8661800486618006E-3</v>
      </c>
      <c r="D39" s="13">
        <f t="shared" si="25"/>
        <v>242352.57</v>
      </c>
      <c r="E39" s="22">
        <f t="shared" si="26"/>
        <v>293246.61</v>
      </c>
      <c r="F39" s="21">
        <f t="shared" si="27"/>
        <v>4.2971918445458964E-3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1</v>
      </c>
      <c r="C40" s="8">
        <f t="shared" si="24"/>
        <v>2.4330900243309003E-3</v>
      </c>
      <c r="D40" s="13">
        <f t="shared" si="25"/>
        <v>207.07</v>
      </c>
      <c r="E40" s="23">
        <f t="shared" si="26"/>
        <v>250.55</v>
      </c>
      <c r="F40" s="21">
        <f t="shared" si="27"/>
        <v>3.6715221248456185E-6</v>
      </c>
      <c r="G40" s="25"/>
      <c r="J40" s="147" t="s">
        <v>0</v>
      </c>
      <c r="K40" s="148"/>
      <c r="L40" s="83">
        <f>SUM(L34:L39)</f>
        <v>411</v>
      </c>
      <c r="M40" s="17">
        <f>SUM(M34:M39)</f>
        <v>0.99999999999999989</v>
      </c>
      <c r="N40" s="84">
        <f>SUM(N34:N39)</f>
        <v>61818577.036198348</v>
      </c>
      <c r="O40" s="85">
        <f>SUM(O34:O39)</f>
        <v>68241451.768600002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36</v>
      </c>
      <c r="C41" s="8">
        <f t="shared" si="24"/>
        <v>8.7591240875912413E-2</v>
      </c>
      <c r="D41" s="13">
        <f t="shared" si="25"/>
        <v>433912.98</v>
      </c>
      <c r="E41" s="23">
        <f t="shared" si="26"/>
        <v>525034.70860000001</v>
      </c>
      <c r="F41" s="21">
        <f t="shared" si="27"/>
        <v>7.6937798800110636E-3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361</v>
      </c>
      <c r="C42" s="8">
        <f t="shared" si="24"/>
        <v>0.87834549878345503</v>
      </c>
      <c r="D42" s="13">
        <f t="shared" si="25"/>
        <v>661024.25619834708</v>
      </c>
      <c r="E42" s="14">
        <f t="shared" si="26"/>
        <v>799839.35</v>
      </c>
      <c r="F42" s="21">
        <f t="shared" si="27"/>
        <v>1.1720725882447169E-2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1</v>
      </c>
      <c r="C45" s="8">
        <f t="shared" ref="C45" si="32">IF(B45,B45/$B$46,"")</f>
        <v>2.4330900243309003E-3</v>
      </c>
      <c r="D45" s="13">
        <f t="shared" si="25"/>
        <v>11900</v>
      </c>
      <c r="E45" s="14">
        <f t="shared" si="26"/>
        <v>14399</v>
      </c>
      <c r="F45" s="21">
        <f t="shared" ref="F45" si="33">IF(E45,E45/$E$46,"")</f>
        <v>2.1100078657214951E-4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411</v>
      </c>
      <c r="C46" s="17">
        <f>SUM(C34:C45)</f>
        <v>1</v>
      </c>
      <c r="D46" s="18">
        <f>SUM(D34:D45)</f>
        <v>61818577.036198348</v>
      </c>
      <c r="E46" s="18">
        <f>SUM(E34:E45)</f>
        <v>68241451.768599987</v>
      </c>
      <c r="F46" s="19">
        <f>SUM(F34:F45)</f>
        <v>1.0000000000000004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O8" sqref="O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4</v>
      </c>
      <c r="C13" s="20">
        <f t="shared" ref="C13:C21" si="0">IF(B13,B13/$B$25,"")</f>
        <v>0.5</v>
      </c>
      <c r="D13" s="4">
        <f>6352783.48+5079365.71+1883365.44+13860583.15</f>
        <v>27176097.780000001</v>
      </c>
      <c r="E13" s="5">
        <f>7024660.23+5617535.8+2071701.98+15246641.47</f>
        <v>29960539.480000004</v>
      </c>
      <c r="F13" s="21">
        <f t="shared" ref="F13:F24" si="1">IF(E13,E13/$E$25,"")</f>
        <v>0.97475745814980663</v>
      </c>
      <c r="G13" s="1">
        <v>5</v>
      </c>
      <c r="H13" s="20">
        <f t="shared" ref="H13:H21" si="2">IF(G13,G13/$G$25,"")</f>
        <v>1.0438413361169102E-2</v>
      </c>
      <c r="I13" s="4">
        <f>505564.98+1405185.17</f>
        <v>1910750.15</v>
      </c>
      <c r="J13" s="5">
        <f>611733.63+1657184.05</f>
        <v>2268917.6800000002</v>
      </c>
      <c r="K13" s="21">
        <f t="shared" ref="K13:K21" si="3">IF(J13,J13/$J$25,"")</f>
        <v>0.52582557384350348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0.125</v>
      </c>
      <c r="D14" s="6">
        <v>589837.98</v>
      </c>
      <c r="E14" s="7">
        <v>713703.9558</v>
      </c>
      <c r="F14" s="21">
        <f t="shared" si="1"/>
        <v>2.3220151102134622E-2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4.1753653444676405E-3</v>
      </c>
      <c r="I15" s="4">
        <v>37100</v>
      </c>
      <c r="J15" s="4">
        <v>44891</v>
      </c>
      <c r="K15" s="21">
        <f t="shared" si="3"/>
        <v>1.0403566442044172E-2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5</v>
      </c>
      <c r="H18" s="66">
        <f t="shared" si="2"/>
        <v>1.0438413361169102E-2</v>
      </c>
      <c r="I18" s="69">
        <v>698352.22</v>
      </c>
      <c r="J18" s="70">
        <v>845006.19</v>
      </c>
      <c r="K18" s="67">
        <f t="shared" si="3"/>
        <v>0.19583163755771982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0.375</v>
      </c>
      <c r="D20" s="69">
        <v>51372.74</v>
      </c>
      <c r="E20" s="70">
        <v>62161.02</v>
      </c>
      <c r="F20" s="21">
        <f t="shared" si="1"/>
        <v>2.0223907480586955E-3</v>
      </c>
      <c r="G20" s="68">
        <v>24</v>
      </c>
      <c r="H20" s="66">
        <f t="shared" si="2"/>
        <v>5.0104384133611693E-2</v>
      </c>
      <c r="I20" s="69">
        <v>234194.4</v>
      </c>
      <c r="J20" s="70">
        <v>283375.21999999997</v>
      </c>
      <c r="K20" s="67">
        <f t="shared" si="3"/>
        <v>6.5672694511124369E-2</v>
      </c>
      <c r="L20" s="68">
        <v>1</v>
      </c>
      <c r="M20" s="66">
        <f>IF(L20,L20/$L$25,"")</f>
        <v>1.3698630136986301E-2</v>
      </c>
      <c r="N20" s="69">
        <v>6190</v>
      </c>
      <c r="O20" s="69">
        <v>7489.9</v>
      </c>
      <c r="P20" s="67">
        <f>IF(O20,O20/$O$25,"")</f>
        <v>3.9056085757254687E-2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443</v>
      </c>
      <c r="H21" s="20">
        <f t="shared" si="2"/>
        <v>0.92484342379958251</v>
      </c>
      <c r="I21" s="6">
        <v>721299.58677685948</v>
      </c>
      <c r="J21" s="7">
        <v>872772.5</v>
      </c>
      <c r="K21" s="21">
        <f t="shared" si="3"/>
        <v>0.20226652764560818</v>
      </c>
      <c r="L21" s="2">
        <v>72</v>
      </c>
      <c r="M21" s="20">
        <f>IF(L21,L21/$L$25,"")</f>
        <v>0.98630136986301364</v>
      </c>
      <c r="N21" s="6">
        <v>152300.02479338844</v>
      </c>
      <c r="O21" s="7">
        <v>184283.03</v>
      </c>
      <c r="P21" s="21">
        <f>IF(O21,O21/$O$25,"")</f>
        <v>0.96094391424274539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8</v>
      </c>
      <c r="C25" s="17">
        <f t="shared" si="30"/>
        <v>1</v>
      </c>
      <c r="D25" s="18">
        <f t="shared" si="30"/>
        <v>27817308.5</v>
      </c>
      <c r="E25" s="18">
        <f t="shared" si="30"/>
        <v>30736404.455800004</v>
      </c>
      <c r="F25" s="19">
        <f t="shared" si="30"/>
        <v>0.99999999999999989</v>
      </c>
      <c r="G25" s="16">
        <f t="shared" si="30"/>
        <v>479</v>
      </c>
      <c r="H25" s="17">
        <f t="shared" si="30"/>
        <v>1</v>
      </c>
      <c r="I25" s="18">
        <f t="shared" si="30"/>
        <v>3601696.3567768596</v>
      </c>
      <c r="J25" s="18">
        <f t="shared" si="30"/>
        <v>4314962.59</v>
      </c>
      <c r="K25" s="19">
        <f t="shared" si="30"/>
        <v>1</v>
      </c>
      <c r="L25" s="16">
        <f t="shared" si="30"/>
        <v>73</v>
      </c>
      <c r="M25" s="17">
        <f t="shared" si="30"/>
        <v>1</v>
      </c>
      <c r="N25" s="18">
        <f t="shared" si="30"/>
        <v>158490.02479338844</v>
      </c>
      <c r="O25" s="18">
        <f t="shared" si="30"/>
        <v>191772.93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9</v>
      </c>
      <c r="C34" s="8">
        <f t="shared" ref="C34:C45" si="32">IF(B34,B34/$B$46,"")</f>
        <v>1.607142857142857E-2</v>
      </c>
      <c r="D34" s="10">
        <f t="shared" ref="D34:D42" si="33">D13+I13+N13+S13+AC13+X13</f>
        <v>29086847.93</v>
      </c>
      <c r="E34" s="11">
        <f t="shared" ref="E34:E42" si="34">E13+J13+O13+T13+AD13+Y13</f>
        <v>32229457.160000004</v>
      </c>
      <c r="F34" s="21">
        <f t="shared" ref="F34:F42" si="35">IF(E34,E34/$E$46,"")</f>
        <v>0.91448881064884191</v>
      </c>
      <c r="J34" s="149" t="s">
        <v>3</v>
      </c>
      <c r="K34" s="150"/>
      <c r="L34" s="57">
        <f>B25</f>
        <v>8</v>
      </c>
      <c r="M34" s="8">
        <f t="shared" ref="M34:M39" si="36">IF(L34,L34/$L$40,"")</f>
        <v>1.4285714285714285E-2</v>
      </c>
      <c r="N34" s="58">
        <f>D25</f>
        <v>27817308.5</v>
      </c>
      <c r="O34" s="58">
        <f>E25</f>
        <v>30736404.455800004</v>
      </c>
      <c r="P34" s="59">
        <f t="shared" ref="P34:P39" si="37">IF(O34,O34/$O$40,"")</f>
        <v>0.8721244610129919</v>
      </c>
    </row>
    <row r="35" spans="1:33" s="25" customFormat="1" ht="30" customHeight="1" x14ac:dyDescent="0.25">
      <c r="A35" s="43" t="s">
        <v>18</v>
      </c>
      <c r="B35" s="12">
        <f t="shared" si="31"/>
        <v>1</v>
      </c>
      <c r="C35" s="8">
        <f t="shared" si="32"/>
        <v>1.7857142857142857E-3</v>
      </c>
      <c r="D35" s="13">
        <f t="shared" si="33"/>
        <v>589837.98</v>
      </c>
      <c r="E35" s="14">
        <f t="shared" si="34"/>
        <v>713703.9558</v>
      </c>
      <c r="F35" s="21">
        <f t="shared" si="35"/>
        <v>2.0250861764589383E-2</v>
      </c>
      <c r="J35" s="145" t="s">
        <v>1</v>
      </c>
      <c r="K35" s="146"/>
      <c r="L35" s="60">
        <f>G25</f>
        <v>479</v>
      </c>
      <c r="M35" s="8">
        <f t="shared" si="36"/>
        <v>0.85535714285714282</v>
      </c>
      <c r="N35" s="61">
        <f>I25</f>
        <v>3601696.3567768596</v>
      </c>
      <c r="O35" s="61">
        <f>J25</f>
        <v>4314962.59</v>
      </c>
      <c r="P35" s="59">
        <f t="shared" si="37"/>
        <v>0.12243411321927913</v>
      </c>
    </row>
    <row r="36" spans="1:33" ht="30" customHeight="1" x14ac:dyDescent="0.25">
      <c r="A36" s="43" t="s">
        <v>19</v>
      </c>
      <c r="B36" s="12">
        <f t="shared" si="31"/>
        <v>2</v>
      </c>
      <c r="C36" s="8">
        <f t="shared" si="32"/>
        <v>3.5714285714285713E-3</v>
      </c>
      <c r="D36" s="13">
        <f t="shared" si="33"/>
        <v>37100</v>
      </c>
      <c r="E36" s="14">
        <f t="shared" si="34"/>
        <v>44891</v>
      </c>
      <c r="F36" s="21">
        <f t="shared" si="35"/>
        <v>1.2737514316495289E-3</v>
      </c>
      <c r="G36" s="25"/>
      <c r="J36" s="145" t="s">
        <v>2</v>
      </c>
      <c r="K36" s="146"/>
      <c r="L36" s="60">
        <f>L25</f>
        <v>73</v>
      </c>
      <c r="M36" s="8">
        <f t="shared" si="36"/>
        <v>0.13035714285714287</v>
      </c>
      <c r="N36" s="61">
        <f>N25</f>
        <v>158490.02479338844</v>
      </c>
      <c r="O36" s="61">
        <f>O25</f>
        <v>191772.93</v>
      </c>
      <c r="P36" s="59">
        <f t="shared" si="37"/>
        <v>5.4414257677290528E-3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5</v>
      </c>
      <c r="C39" s="8">
        <f t="shared" si="32"/>
        <v>8.9285714285714281E-3</v>
      </c>
      <c r="D39" s="13">
        <f t="shared" si="33"/>
        <v>698352.22</v>
      </c>
      <c r="E39" s="22">
        <f t="shared" si="34"/>
        <v>845006.19</v>
      </c>
      <c r="F39" s="21">
        <f t="shared" si="35"/>
        <v>2.3976472884658699E-2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560</v>
      </c>
      <c r="M40" s="17">
        <f>SUM(M34:M39)</f>
        <v>0.99999999999999989</v>
      </c>
      <c r="N40" s="84">
        <f>SUM(N34:N39)</f>
        <v>31577494.88157025</v>
      </c>
      <c r="O40" s="85">
        <f>SUM(O34:O39)</f>
        <v>35243139.9758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28</v>
      </c>
      <c r="C41" s="8">
        <f t="shared" si="32"/>
        <v>0.05</v>
      </c>
      <c r="D41" s="13">
        <f t="shared" si="33"/>
        <v>291757.14</v>
      </c>
      <c r="E41" s="23">
        <f t="shared" si="34"/>
        <v>353026.14</v>
      </c>
      <c r="F41" s="21">
        <f t="shared" si="35"/>
        <v>1.0016875347724644E-2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515</v>
      </c>
      <c r="C42" s="8">
        <f t="shared" si="32"/>
        <v>0.9196428571428571</v>
      </c>
      <c r="D42" s="13">
        <f t="shared" si="33"/>
        <v>873599.61157024791</v>
      </c>
      <c r="E42" s="14">
        <f t="shared" si="34"/>
        <v>1057055.53</v>
      </c>
      <c r="F42" s="21">
        <f t="shared" si="35"/>
        <v>2.9993227922535729E-2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560</v>
      </c>
      <c r="C46" s="17">
        <f>SUM(C34:C45)</f>
        <v>1</v>
      </c>
      <c r="D46" s="18">
        <f>SUM(D34:D45)</f>
        <v>31577494.881570246</v>
      </c>
      <c r="E46" s="18">
        <f>SUM(E34:E45)</f>
        <v>35243139.975800008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6" zoomScale="80" zoomScaleNormal="80" workbookViewId="0">
      <selection activeCell="E46" sqref="E46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17</v>
      </c>
      <c r="C13" s="20">
        <f t="shared" ref="C13:C24" si="0">IF(B13,B13/$B$25,"")</f>
        <v>0.39534883720930231</v>
      </c>
      <c r="D13" s="10">
        <f>'CONTRACTACIO 1r TR 2021'!D13+'CONTRACTACIO 2n TR 2021'!D13+'CONTRACTACIO 3r TR 2021'!D13+'CONTRACTACIO 4t TR 2021'!D13</f>
        <v>161442148.47</v>
      </c>
      <c r="E13" s="10">
        <f>'CONTRACTACIO 1r TR 2021'!E13+'CONTRACTACIO 2n TR 2021'!E13+'CONTRACTACIO 3r TR 2021'!E13+'CONTRACTACIO 4t TR 2021'!E13</f>
        <v>177749388.44800001</v>
      </c>
      <c r="F13" s="21">
        <f t="shared" ref="F13:F24" si="1">IF(E13,E13/$E$25,"")</f>
        <v>0.9900103660664642</v>
      </c>
      <c r="G13" s="9">
        <f>'CONTRACTACIO 1r TR 2021'!G13+'CONTRACTACIO 2n TR 2021'!G13+'CONTRACTACIO 3r TR 2021'!G13+'CONTRACTACIO 4t TR 2021'!G13</f>
        <v>36</v>
      </c>
      <c r="H13" s="20">
        <f t="shared" ref="H13:H24" si="2">IF(G13,G13/$G$25,"")</f>
        <v>2.2332506203473945E-2</v>
      </c>
      <c r="I13" s="10">
        <f>'CONTRACTACIO 1r TR 2021'!I13+'CONTRACTACIO 2n TR 2021'!I13+'CONTRACTACIO 3r TR 2021'!I13+'CONTRACTACIO 4t TR 2021'!I13</f>
        <v>25618330.340000004</v>
      </c>
      <c r="J13" s="10">
        <f>'CONTRACTACIO 1r TR 2021'!J13+'CONTRACTACIO 2n TR 2021'!J13+'CONTRACTACIO 3r TR 2021'!J13+'CONTRACTACIO 4t TR 2021'!J13</f>
        <v>30550361.010000005</v>
      </c>
      <c r="K13" s="21">
        <f t="shared" ref="K13:K24" si="3">IF(J13,J13/$J$25,"")</f>
        <v>0.78275174870881148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1</v>
      </c>
      <c r="W13" s="20">
        <f t="shared" ref="W13:W24" si="8">IF(V13,V13/$V$25,"")</f>
        <v>1</v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3</v>
      </c>
      <c r="C14" s="20">
        <f t="shared" si="0"/>
        <v>6.9767441860465115E-2</v>
      </c>
      <c r="D14" s="13">
        <f>'CONTRACTACIO 1r TR 2021'!D14+'CONTRACTACIO 2n TR 2021'!D14+'CONTRACTACIO 3r TR 2021'!D14+'CONTRACTACIO 4t TR 2021'!D14</f>
        <v>997139.02</v>
      </c>
      <c r="E14" s="13">
        <f>'CONTRACTACIO 1r TR 2021'!E14+'CONTRACTACIO 2n TR 2021'!E14+'CONTRACTACIO 3r TR 2021'!E14+'CONTRACTACIO 4t TR 2021'!E14</f>
        <v>1206538.2157999999</v>
      </c>
      <c r="F14" s="21">
        <f t="shared" si="1"/>
        <v>6.7200531665782869E-3</v>
      </c>
      <c r="G14" s="9">
        <f>'CONTRACTACIO 1r TR 2021'!G14+'CONTRACTACIO 2n TR 2021'!G14+'CONTRACTACIO 3r TR 2021'!G14+'CONTRACTACIO 4t TR 2021'!G14</f>
        <v>1</v>
      </c>
      <c r="H14" s="20">
        <f t="shared" si="2"/>
        <v>6.2034739454094293E-4</v>
      </c>
      <c r="I14" s="13">
        <f>'CONTRACTACIO 1r TR 2021'!I14+'CONTRACTACIO 2n TR 2021'!I14+'CONTRACTACIO 3r TR 2021'!I14+'CONTRACTACIO 4t TR 2021'!I14</f>
        <v>67600</v>
      </c>
      <c r="J14" s="13">
        <f>'CONTRACTACIO 1r TR 2021'!J14+'CONTRACTACIO 2n TR 2021'!J14+'CONTRACTACIO 3r TR 2021'!J14+'CONTRACTACIO 4t TR 2021'!J14</f>
        <v>81796</v>
      </c>
      <c r="K14" s="21">
        <f t="shared" si="3"/>
        <v>2.0957514058975741E-3</v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3</v>
      </c>
      <c r="H15" s="20">
        <f t="shared" si="2"/>
        <v>1.8610421836228288E-3</v>
      </c>
      <c r="I15" s="13">
        <f>'CONTRACTACIO 1r TR 2021'!I15+'CONTRACTACIO 2n TR 2021'!I15+'CONTRACTACIO 3r TR 2021'!I15+'CONTRACTACIO 4t TR 2021'!I15</f>
        <v>65180</v>
      </c>
      <c r="J15" s="13">
        <f>'CONTRACTACIO 1r TR 2021'!J15+'CONTRACTACIO 2n TR 2021'!J15+'CONTRACTACIO 3r TR 2021'!J15+'CONTRACTACIO 4t TR 2021'!J15</f>
        <v>78867.799999999988</v>
      </c>
      <c r="K15" s="21">
        <f t="shared" si="3"/>
        <v>2.0207259857456194E-3</v>
      </c>
      <c r="L15" s="9">
        <f>'CONTRACTACIO 1r TR 2021'!L15+'CONTRACTACIO 2n TR 2021'!L15+'CONTRACTACIO 3r TR 2021'!L15+'CONTRACTACIO 4t TR 2021'!L15</f>
        <v>1</v>
      </c>
      <c r="M15" s="20">
        <f t="shared" si="4"/>
        <v>3.8167938931297708E-3</v>
      </c>
      <c r="N15" s="13">
        <f>'CONTRACTACIO 1r TR 2021'!N15+'CONTRACTACIO 2n TR 2021'!N15+'CONTRACTACIO 3r TR 2021'!N15+'CONTRACTACIO 4t TR 2021'!N15</f>
        <v>26558</v>
      </c>
      <c r="O15" s="13">
        <f>'CONTRACTACIO 1r TR 2021'!O15+'CONTRACTACIO 2n TR 2021'!O15+'CONTRACTACIO 3r TR 2021'!O15+'CONTRACTACIO 4t TR 2021'!O15</f>
        <v>32135.18</v>
      </c>
      <c r="P15" s="21">
        <f t="shared" si="5"/>
        <v>1.9903201226728666E-2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15</v>
      </c>
      <c r="H18" s="20">
        <f t="shared" si="2"/>
        <v>9.3052109181141433E-3</v>
      </c>
      <c r="I18" s="13">
        <f>'CONTRACTACIO 1r TR 2021'!I18+'CONTRACTACIO 2n TR 2021'!I18+'CONTRACTACIO 3r TR 2021'!I18+'CONTRACTACIO 4t TR 2021'!I18</f>
        <v>2400824.4299999997</v>
      </c>
      <c r="J18" s="13">
        <f>'CONTRACTACIO 1r TR 2021'!J18+'CONTRACTACIO 2n TR 2021'!J18+'CONTRACTACIO 3r TR 2021'!J18+'CONTRACTACIO 4t TR 2021'!J18</f>
        <v>2904997.56</v>
      </c>
      <c r="K18" s="21">
        <f t="shared" si="3"/>
        <v>7.4430934526126244E-2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15</v>
      </c>
      <c r="H19" s="20">
        <f t="shared" si="2"/>
        <v>9.3052109181141433E-3</v>
      </c>
      <c r="I19" s="13">
        <f>'CONTRACTACIO 1r TR 2021'!I19+'CONTRACTACIO 2n TR 2021'!I19+'CONTRACTACIO 3r TR 2021'!I19+'CONTRACTACIO 4t TR 2021'!I19</f>
        <v>27630.753140495868</v>
      </c>
      <c r="J19" s="13">
        <f>'CONTRACTACIO 1r TR 2021'!J19+'CONTRACTACIO 2n TR 2021'!J19+'CONTRACTACIO 3r TR 2021'!J19+'CONTRACTACIO 4t TR 2021'!J19</f>
        <v>33433.21</v>
      </c>
      <c r="K19" s="21">
        <f t="shared" si="3"/>
        <v>8.5661519953504856E-4</v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17</v>
      </c>
      <c r="C20" s="20">
        <f t="shared" si="0"/>
        <v>0.39534883720930231</v>
      </c>
      <c r="D20" s="13">
        <f>'CONTRACTACIO 1r TR 2021'!D20+'CONTRACTACIO 2n TR 2021'!D20+'CONTRACTACIO 3r TR 2021'!D20+'CONTRACTACIO 4t TR 2021'!D20</f>
        <v>421272.72</v>
      </c>
      <c r="E20" s="13">
        <f>'CONTRACTACIO 1r TR 2021'!E20+'CONTRACTACIO 2n TR 2021'!E20+'CONTRACTACIO 3r TR 2021'!E20+'CONTRACTACIO 4t TR 2021'!E20</f>
        <v>509739.98860000004</v>
      </c>
      <c r="F20" s="21">
        <f t="shared" si="1"/>
        <v>2.839097659456839E-3</v>
      </c>
      <c r="G20" s="9">
        <f>'CONTRACTACIO 1r TR 2021'!G20+'CONTRACTACIO 2n TR 2021'!G20+'CONTRACTACIO 3r TR 2021'!G20+'CONTRACTACIO 4t TR 2021'!G20</f>
        <v>119</v>
      </c>
      <c r="H20" s="20">
        <f t="shared" si="2"/>
        <v>7.3821339950372211E-2</v>
      </c>
      <c r="I20" s="13">
        <f>'CONTRACTACIO 1r TR 2021'!I20+'CONTRACTACIO 2n TR 2021'!I20+'CONTRACTACIO 3r TR 2021'!I20+'CONTRACTACIO 4t TR 2021'!I20</f>
        <v>1151664.5499999998</v>
      </c>
      <c r="J20" s="13">
        <f>'CONTRACTACIO 1r TR 2021'!J20+'CONTRACTACIO 2n TR 2021'!J20+'CONTRACTACIO 3r TR 2021'!J20+'CONTRACTACIO 4t TR 2021'!J20</f>
        <v>1409225.66</v>
      </c>
      <c r="K20" s="21">
        <f t="shared" si="3"/>
        <v>3.6106736981905432E-2</v>
      </c>
      <c r="L20" s="9">
        <f>'CONTRACTACIO 1r TR 2021'!L20+'CONTRACTACIO 2n TR 2021'!L20+'CONTRACTACIO 3r TR 2021'!L20+'CONTRACTACIO 4t TR 2021'!L20</f>
        <v>2</v>
      </c>
      <c r="M20" s="20">
        <f t="shared" si="4"/>
        <v>7.6335877862595417E-3</v>
      </c>
      <c r="N20" s="13">
        <f>'CONTRACTACIO 1r TR 2021'!N20+'CONTRACTACIO 2n TR 2021'!N20+'CONTRACTACIO 3r TR 2021'!N20+'CONTRACTACIO 4t TR 2021'!N20</f>
        <v>20605.239999999998</v>
      </c>
      <c r="O20" s="13">
        <f>'CONTRACTACIO 1r TR 2021'!O20+'CONTRACTACIO 2n TR 2021'!O20+'CONTRACTACIO 3r TR 2021'!O20+'CONTRACTACIO 4t TR 2021'!O20</f>
        <v>24932.339999999997</v>
      </c>
      <c r="P20" s="21">
        <f t="shared" si="5"/>
        <v>1.544206007475969E-2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2021'!B21+'CONTRACTACIO 2n TR 2021'!B21+'CONTRACTACIO 3r TR 2021'!B21+'CONTRACTACIO 4t TR 2021'!B21</f>
        <v>6</v>
      </c>
      <c r="C21" s="20">
        <f t="shared" si="0"/>
        <v>0.13953488372093023</v>
      </c>
      <c r="D21" s="13">
        <f>'CONTRACTACIO 1r TR 2021'!D21+'CONTRACTACIO 2n TR 2021'!D21+'CONTRACTACIO 3r TR 2021'!D21+'CONTRACTACIO 4t TR 2021'!D21</f>
        <v>63876.206611570247</v>
      </c>
      <c r="E21" s="13">
        <f>'CONTRACTACIO 1r TR 2021'!E21+'CONTRACTACIO 2n TR 2021'!E21+'CONTRACTACIO 3r TR 2021'!E21+'CONTRACTACIO 4t TR 2021'!E21</f>
        <v>77290.209999999992</v>
      </c>
      <c r="F21" s="21">
        <f t="shared" si="1"/>
        <v>4.3048310750075521E-4</v>
      </c>
      <c r="G21" s="9">
        <f>'CONTRACTACIO 1r TR 2021'!G21+'CONTRACTACIO 2n TR 2021'!G21+'CONTRACTACIO 3r TR 2021'!G21+'CONTRACTACIO 4t TR 2021'!G21</f>
        <v>1412</v>
      </c>
      <c r="H21" s="20">
        <f t="shared" si="2"/>
        <v>0.87593052109181146</v>
      </c>
      <c r="I21" s="13">
        <f>'CONTRACTACIO 1r TR 2021'!I21+'CONTRACTACIO 2n TR 2021'!I21+'CONTRACTACIO 3r TR 2021'!I21+'CONTRACTACIO 4t TR 2021'!I21</f>
        <v>2543129.4876033058</v>
      </c>
      <c r="J21" s="13">
        <f>'CONTRACTACIO 1r TR 2021'!J21+'CONTRACTACIO 2n TR 2021'!J21+'CONTRACTACIO 3r TR 2021'!J21+'CONTRACTACIO 4t TR 2021'!J21</f>
        <v>3077186.68</v>
      </c>
      <c r="K21" s="21">
        <f t="shared" si="3"/>
        <v>7.8842710044736766E-2</v>
      </c>
      <c r="L21" s="9">
        <f>'CONTRACTACIO 1r TR 2021'!L21+'CONTRACTACIO 2n TR 2021'!L21+'CONTRACTACIO 3r TR 2021'!L21+'CONTRACTACIO 4t TR 2021'!L21</f>
        <v>257</v>
      </c>
      <c r="M21" s="20">
        <f t="shared" si="4"/>
        <v>0.98091603053435117</v>
      </c>
      <c r="N21" s="13">
        <f>'CONTRACTACIO 1r TR 2021'!N21+'CONTRACTACIO 2n TR 2021'!N21+'CONTRACTACIO 3r TR 2021'!N21+'CONTRACTACIO 4t TR 2021'!N21</f>
        <v>1207380.132231405</v>
      </c>
      <c r="O21" s="13">
        <f>'CONTRACTACIO 1r TR 2021'!O21+'CONTRACTACIO 2n TR 2021'!O21+'CONTRACTACIO 3r TR 2021'!O21+'CONTRACTACIO 4t TR 2021'!O21</f>
        <v>1460929.9600000002</v>
      </c>
      <c r="P21" s="21">
        <f t="shared" si="5"/>
        <v>0.90483958614940585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2</v>
      </c>
      <c r="H22" s="20">
        <f t="shared" si="2"/>
        <v>1.2406947890818859E-3</v>
      </c>
      <c r="I22" s="13">
        <f>'CONTRACTACIO 1r TR 2021'!I22+'CONTRACTACIO 2n TR 2021'!I22+'CONTRACTACIO 3r TR 2021'!I22+'CONTRACTACIO 4t TR 2021'!I22</f>
        <v>223894.51</v>
      </c>
      <c r="J22" s="23">
        <f>'CONTRACTACIO 1r TR 2021'!J22+'CONTRACTACIO 2n TR 2021'!J22+'CONTRACTACIO 3r TR 2021'!J22+'CONTRACTACIO 4t TR 2021'!J22</f>
        <v>270912.36</v>
      </c>
      <c r="K22" s="21">
        <f t="shared" si="3"/>
        <v>6.9412313480491676E-3</v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9</v>
      </c>
      <c r="H24" s="66">
        <f t="shared" si="2"/>
        <v>5.5831265508684861E-3</v>
      </c>
      <c r="I24" s="77">
        <f>'CONTRACTACIO 1r TR 2021'!I24+'CONTRACTACIO 2n TR 2021'!I24+'CONTRACTACIO 3r TR 2021'!I24+'CONTRACTACIO 4t TR 2021'!I24</f>
        <v>514593.32999999996</v>
      </c>
      <c r="J24" s="78">
        <f>'CONTRACTACIO 1r TR 2021'!J24+'CONTRACTACIO 2n TR 2021'!J24+'CONTRACTACIO 3r TR 2021'!J24+'CONTRACTACIO 4t TR 2021'!J24</f>
        <v>622657.92999999993</v>
      </c>
      <c r="K24" s="67">
        <f t="shared" si="3"/>
        <v>1.5953545799192788E-2</v>
      </c>
      <c r="L24" s="81">
        <f>'CONTRACTACIO 1r TR 2021'!L24+'CONTRACTACIO 2n TR 2021'!L24+'CONTRACTACIO 3r TR 2021'!L24+'CONTRACTACIO 4t TR 2021'!L24</f>
        <v>2</v>
      </c>
      <c r="M24" s="66">
        <f t="shared" si="4"/>
        <v>7.6335877862595417E-3</v>
      </c>
      <c r="N24" s="77">
        <f>'CONTRACTACIO 1r TR 2021'!N24+'CONTRACTACIO 2n TR 2021'!N24+'CONTRACTACIO 3r TR 2021'!N24+'CONTRACTACIO 4t TR 2021'!N24</f>
        <v>79814.84</v>
      </c>
      <c r="O24" s="78">
        <f>'CONTRACTACIO 1r TR 2021'!O24+'CONTRACTACIO 2n TR 2021'!O24+'CONTRACTACIO 3r TR 2021'!O24+'CONTRACTACIO 4t TR 2021'!O24</f>
        <v>96575.956399999995</v>
      </c>
      <c r="P24" s="67">
        <f t="shared" si="5"/>
        <v>5.9815152549105806E-2</v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43</v>
      </c>
      <c r="C25" s="17">
        <f t="shared" si="12"/>
        <v>1</v>
      </c>
      <c r="D25" s="18">
        <f t="shared" si="12"/>
        <v>162924436.41661158</v>
      </c>
      <c r="E25" s="18">
        <f t="shared" si="12"/>
        <v>179542956.8624</v>
      </c>
      <c r="F25" s="19">
        <f t="shared" si="12"/>
        <v>1.0000000000000002</v>
      </c>
      <c r="G25" s="16">
        <f t="shared" si="12"/>
        <v>1612</v>
      </c>
      <c r="H25" s="17">
        <f t="shared" si="12"/>
        <v>1</v>
      </c>
      <c r="I25" s="18">
        <f t="shared" si="12"/>
        <v>32612847.400743805</v>
      </c>
      <c r="J25" s="18">
        <f t="shared" si="12"/>
        <v>39029438.210000001</v>
      </c>
      <c r="K25" s="19">
        <f t="shared" si="12"/>
        <v>1.0000000000000002</v>
      </c>
      <c r="L25" s="16">
        <f t="shared" si="12"/>
        <v>262</v>
      </c>
      <c r="M25" s="17">
        <f t="shared" si="12"/>
        <v>1</v>
      </c>
      <c r="N25" s="18">
        <f t="shared" si="12"/>
        <v>1334358.2122314051</v>
      </c>
      <c r="O25" s="18">
        <f t="shared" si="12"/>
        <v>1614573.4364000002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</v>
      </c>
      <c r="W25" s="17">
        <f t="shared" si="12"/>
        <v>1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54</v>
      </c>
      <c r="C34" s="8">
        <f t="shared" ref="C34:C40" si="14">IF(B34,B34/$B$46,"")</f>
        <v>2.8154327424400417E-2</v>
      </c>
      <c r="D34" s="10">
        <f t="shared" ref="D34:D43" si="15">D13+I13+N13+S13+X13+AC13</f>
        <v>187060478.81</v>
      </c>
      <c r="E34" s="11">
        <f t="shared" ref="E34:E43" si="16">E13+J13+O13+T13+Y13+AD13</f>
        <v>208299749.458</v>
      </c>
      <c r="F34" s="21">
        <f t="shared" ref="F34:F40" si="17">IF(E34,E34/$E$46,"")</f>
        <v>0.94601306729773649</v>
      </c>
      <c r="J34" s="149" t="s">
        <v>3</v>
      </c>
      <c r="K34" s="150"/>
      <c r="L34" s="57">
        <f>B25</f>
        <v>43</v>
      </c>
      <c r="M34" s="8">
        <f t="shared" ref="M34:M39" si="18">IF(L34,L34/$L$40,"")</f>
        <v>2.2419186652763295E-2</v>
      </c>
      <c r="N34" s="58">
        <f>D25</f>
        <v>162924436.41661158</v>
      </c>
      <c r="O34" s="58">
        <f>E25</f>
        <v>179542956.8624</v>
      </c>
      <c r="P34" s="59">
        <f t="shared" ref="P34:P39" si="19">IF(O34,O34/$O$40,"")</f>
        <v>0.81541136643254331</v>
      </c>
    </row>
    <row r="35" spans="1:33" s="25" customFormat="1" ht="30" customHeight="1" x14ac:dyDescent="0.25">
      <c r="A35" s="43" t="s">
        <v>18</v>
      </c>
      <c r="B35" s="12">
        <f t="shared" si="13"/>
        <v>4</v>
      </c>
      <c r="C35" s="8">
        <f t="shared" si="14"/>
        <v>2.0855057351407717E-3</v>
      </c>
      <c r="D35" s="13">
        <f t="shared" si="15"/>
        <v>1064739.02</v>
      </c>
      <c r="E35" s="14">
        <f t="shared" si="16"/>
        <v>1288334.2157999999</v>
      </c>
      <c r="F35" s="21">
        <f t="shared" si="17"/>
        <v>5.8510920265860793E-3</v>
      </c>
      <c r="J35" s="145" t="s">
        <v>1</v>
      </c>
      <c r="K35" s="146"/>
      <c r="L35" s="60">
        <f>G25</f>
        <v>1612</v>
      </c>
      <c r="M35" s="8">
        <f t="shared" si="18"/>
        <v>0.84045881126173094</v>
      </c>
      <c r="N35" s="61">
        <f>I25</f>
        <v>32612847.400743805</v>
      </c>
      <c r="O35" s="61">
        <f>J25</f>
        <v>39029438.210000001</v>
      </c>
      <c r="P35" s="59">
        <f t="shared" si="19"/>
        <v>0.17725589518000992</v>
      </c>
    </row>
    <row r="36" spans="1:33" s="25" customFormat="1" ht="30" customHeight="1" x14ac:dyDescent="0.25">
      <c r="A36" s="43" t="s">
        <v>19</v>
      </c>
      <c r="B36" s="12">
        <f t="shared" si="13"/>
        <v>4</v>
      </c>
      <c r="C36" s="8">
        <f t="shared" si="14"/>
        <v>2.0855057351407717E-3</v>
      </c>
      <c r="D36" s="13">
        <f t="shared" si="15"/>
        <v>91738</v>
      </c>
      <c r="E36" s="14">
        <f t="shared" si="16"/>
        <v>111002.97999999998</v>
      </c>
      <c r="F36" s="21">
        <f t="shared" si="17"/>
        <v>5.0413056118515768E-4</v>
      </c>
      <c r="J36" s="145" t="s">
        <v>2</v>
      </c>
      <c r="K36" s="146"/>
      <c r="L36" s="60">
        <f>L25</f>
        <v>262</v>
      </c>
      <c r="M36" s="8">
        <f t="shared" si="18"/>
        <v>0.13660062565172054</v>
      </c>
      <c r="N36" s="61">
        <f>N25</f>
        <v>1334358.2122314051</v>
      </c>
      <c r="O36" s="61">
        <f>O25</f>
        <v>1614573.4364000002</v>
      </c>
      <c r="P36" s="59">
        <f t="shared" si="19"/>
        <v>7.3327383874467215E-3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15</v>
      </c>
      <c r="C39" s="8">
        <f t="shared" si="14"/>
        <v>7.8206465067778945E-3</v>
      </c>
      <c r="D39" s="13">
        <f t="shared" si="15"/>
        <v>2400824.4299999997</v>
      </c>
      <c r="E39" s="22">
        <f t="shared" si="16"/>
        <v>2904997.56</v>
      </c>
      <c r="F39" s="21">
        <f t="shared" si="17"/>
        <v>1.3193321928513217E-2</v>
      </c>
      <c r="G39" s="25"/>
      <c r="H39" s="25"/>
      <c r="I39" s="25"/>
      <c r="J39" s="145" t="s">
        <v>4</v>
      </c>
      <c r="K39" s="146"/>
      <c r="L39" s="60">
        <f>V25</f>
        <v>1</v>
      </c>
      <c r="M39" s="8">
        <f t="shared" si="18"/>
        <v>5.2137643378519292E-4</v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15</v>
      </c>
      <c r="C40" s="8">
        <f t="shared" si="14"/>
        <v>7.8206465067778945E-3</v>
      </c>
      <c r="D40" s="13">
        <f t="shared" si="15"/>
        <v>27630.753140495868</v>
      </c>
      <c r="E40" s="23">
        <f t="shared" si="16"/>
        <v>33433.21</v>
      </c>
      <c r="F40" s="21">
        <f t="shared" si="17"/>
        <v>1.5184009401838787E-4</v>
      </c>
      <c r="G40" s="25"/>
      <c r="H40" s="25"/>
      <c r="I40" s="25"/>
      <c r="J40" s="147" t="s">
        <v>0</v>
      </c>
      <c r="K40" s="148"/>
      <c r="L40" s="83">
        <f>SUM(L34:L39)</f>
        <v>1918</v>
      </c>
      <c r="M40" s="17">
        <f>SUM(M34:M39)</f>
        <v>1</v>
      </c>
      <c r="N40" s="84">
        <f>SUM(N34:N39)</f>
        <v>196871642.02958679</v>
      </c>
      <c r="O40" s="85">
        <f>SUM(O34:O39)</f>
        <v>220186968.5088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138</v>
      </c>
      <c r="C41" s="8">
        <f>IF(B41,B41/$B$46,"")</f>
        <v>7.1949947862356617E-2</v>
      </c>
      <c r="D41" s="13">
        <f t="shared" si="15"/>
        <v>1593542.5099999998</v>
      </c>
      <c r="E41" s="23">
        <f t="shared" si="16"/>
        <v>1943897.9886</v>
      </c>
      <c r="F41" s="21">
        <f>IF(E41,E41/$E$46,"")</f>
        <v>8.8283970743814038E-3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1675</v>
      </c>
      <c r="C42" s="8">
        <f>IF(B42,B42/$B$46,"")</f>
        <v>0.87330552659019811</v>
      </c>
      <c r="D42" s="13">
        <f t="shared" si="15"/>
        <v>3814385.8264462813</v>
      </c>
      <c r="E42" s="14">
        <f t="shared" si="16"/>
        <v>4615406.8500000006</v>
      </c>
      <c r="F42" s="21">
        <f>IF(E42,E42/$E$46,"")</f>
        <v>2.0961307934150249E-2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2</v>
      </c>
      <c r="C43" s="8">
        <f>IF(B43,B43/$B$46,"")</f>
        <v>1.0427528675703858E-3</v>
      </c>
      <c r="D43" s="13">
        <f t="shared" si="15"/>
        <v>223894.51</v>
      </c>
      <c r="E43" s="14">
        <f t="shared" si="16"/>
        <v>270912.36</v>
      </c>
      <c r="F43" s="21">
        <f>IF(E43,E43/$E$46,"")</f>
        <v>1.2303741762500022E-3</v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11</v>
      </c>
      <c r="C45" s="8">
        <f>IF(B45,B45/$B$46,"")</f>
        <v>5.7351407716371219E-3</v>
      </c>
      <c r="D45" s="13">
        <f t="shared" ref="D45" si="24">D24+I24+N24+S24+X24+AC24</f>
        <v>594408.16999999993</v>
      </c>
      <c r="E45" s="14">
        <f t="shared" ref="E45" si="25">E24+J24+O24+T24+Y24+AD24</f>
        <v>719233.88639999996</v>
      </c>
      <c r="F45" s="21">
        <f>IF(E45,E45/$E$46,"")</f>
        <v>3.2664689071790144E-3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1918</v>
      </c>
      <c r="C46" s="17">
        <f>SUM(C34:C45)</f>
        <v>1</v>
      </c>
      <c r="D46" s="18">
        <f>SUM(D34:D45)</f>
        <v>196871642.02958679</v>
      </c>
      <c r="E46" s="18">
        <f>SUM(E34:E45)</f>
        <v>220186968.5088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2021-08-05T09:52:45Z</cp:lastPrinted>
  <dcterms:created xsi:type="dcterms:W3CDTF">2016-02-03T12:33:15Z</dcterms:created>
  <dcterms:modified xsi:type="dcterms:W3CDTF">2022-04-12T10:38:28Z</dcterms:modified>
</cp:coreProperties>
</file>