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8" yWindow="-12" windowWidth="11544" windowHeight="9660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O15" i="5" l="1"/>
  <c r="N15" i="5"/>
  <c r="O14" i="5"/>
  <c r="N14" i="5"/>
  <c r="O13" i="5"/>
  <c r="N13" i="5"/>
  <c r="L15" i="5"/>
  <c r="L14" i="5"/>
  <c r="L13" i="5"/>
  <c r="J15" i="5"/>
  <c r="I15" i="5"/>
  <c r="J13" i="5"/>
  <c r="I13" i="5"/>
  <c r="G15" i="5"/>
  <c r="G13" i="5"/>
  <c r="E14" i="5"/>
  <c r="D14" i="5"/>
  <c r="B14" i="5"/>
  <c r="O15" i="4" l="1"/>
  <c r="N15" i="4"/>
  <c r="L15" i="4"/>
  <c r="J18" i="4"/>
  <c r="I18" i="4"/>
  <c r="G18" i="4"/>
  <c r="J15" i="4"/>
  <c r="J14" i="4"/>
  <c r="J13" i="4"/>
  <c r="I15" i="4"/>
  <c r="I14" i="4"/>
  <c r="I13" i="4"/>
  <c r="G15" i="4"/>
  <c r="G14" i="4"/>
  <c r="G13" i="4"/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E44" i="7" s="1"/>
  <c r="I23" i="7"/>
  <c r="D44" i="7" s="1"/>
  <c r="G23" i="7"/>
  <c r="B44" i="7" s="1"/>
  <c r="E23" i="7"/>
  <c r="D23" i="7"/>
  <c r="B23" i="7"/>
  <c r="B8" i="7"/>
  <c r="B8" i="6"/>
  <c r="B8" i="5"/>
  <c r="B8" i="4"/>
  <c r="AD22" i="7"/>
  <c r="AE22" i="7"/>
  <c r="AC22" i="7"/>
  <c r="AA22" i="7"/>
  <c r="AB22" i="7" s="1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L34" i="1" s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E20" i="7"/>
  <c r="J20" i="7"/>
  <c r="O20" i="7"/>
  <c r="AD20" i="7"/>
  <c r="T20" i="7"/>
  <c r="U20" i="7"/>
  <c r="Y20" i="7"/>
  <c r="E21" i="7"/>
  <c r="J21" i="7"/>
  <c r="O21" i="7"/>
  <c r="E42" i="7" s="1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J16" i="7"/>
  <c r="O16" i="7"/>
  <c r="E16" i="7"/>
  <c r="F16" i="7"/>
  <c r="T16" i="7"/>
  <c r="Y16" i="7"/>
  <c r="AD16" i="7"/>
  <c r="J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D38" i="7" s="1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B37" i="7" s="1"/>
  <c r="V16" i="7"/>
  <c r="W16" i="7"/>
  <c r="AA16" i="7"/>
  <c r="AB16" i="7"/>
  <c r="B13" i="7"/>
  <c r="G13" i="7"/>
  <c r="L13" i="7"/>
  <c r="Q13" i="7"/>
  <c r="V13" i="7"/>
  <c r="W13" i="7"/>
  <c r="AA13" i="7"/>
  <c r="B20" i="7"/>
  <c r="G20" i="7"/>
  <c r="L20" i="7"/>
  <c r="AA20" i="7"/>
  <c r="Q20" i="7"/>
  <c r="R20" i="7"/>
  <c r="V20" i="7"/>
  <c r="B21" i="7"/>
  <c r="C21" i="7"/>
  <c r="G21" i="7"/>
  <c r="L21" i="7"/>
  <c r="AA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G17" i="7"/>
  <c r="B38" i="7" s="1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13" i="6" s="1"/>
  <c r="E25" i="6"/>
  <c r="O25" i="6"/>
  <c r="O36" i="6" s="1"/>
  <c r="Y25" i="6"/>
  <c r="Z20" i="6" s="1"/>
  <c r="O38" i="6"/>
  <c r="T25" i="6"/>
  <c r="O37" i="6" s="1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H15" i="6" s="1"/>
  <c r="B25" i="6"/>
  <c r="L25" i="6"/>
  <c r="L36" i="6" s="1"/>
  <c r="V25" i="6"/>
  <c r="L38" i="6" s="1"/>
  <c r="Q25" i="6"/>
  <c r="L37" i="6" s="1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4" i="6"/>
  <c r="W13" i="6"/>
  <c r="W14" i="6"/>
  <c r="W15" i="6"/>
  <c r="W25" i="6" s="1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4" i="6"/>
  <c r="R15" i="6"/>
  <c r="R17" i="6"/>
  <c r="R18" i="6"/>
  <c r="R19" i="6"/>
  <c r="R20" i="6"/>
  <c r="R21" i="6"/>
  <c r="R24" i="6"/>
  <c r="P13" i="6"/>
  <c r="P16" i="6"/>
  <c r="P18" i="6"/>
  <c r="P20" i="6"/>
  <c r="P21" i="6"/>
  <c r="P24" i="6"/>
  <c r="M15" i="6"/>
  <c r="M16" i="6"/>
  <c r="M19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K23" i="5" s="1"/>
  <c r="O25" i="5"/>
  <c r="O36" i="5" s="1"/>
  <c r="T25" i="5"/>
  <c r="O37" i="5"/>
  <c r="Y25" i="5"/>
  <c r="Z18" i="5" s="1"/>
  <c r="Z25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3" i="5" s="1"/>
  <c r="L25" i="5"/>
  <c r="L36" i="5" s="1"/>
  <c r="Q25" i="5"/>
  <c r="R16" i="5" s="1"/>
  <c r="R25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25" i="5" s="1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H16" i="5"/>
  <c r="H17" i="5"/>
  <c r="F14" i="5"/>
  <c r="F16" i="5"/>
  <c r="F17" i="5"/>
  <c r="F18" i="5"/>
  <c r="F19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9" i="4"/>
  <c r="Y25" i="4"/>
  <c r="O38" i="4" s="1"/>
  <c r="Z24" i="4"/>
  <c r="X25" i="4"/>
  <c r="N38" i="4" s="1"/>
  <c r="W13" i="4"/>
  <c r="W14" i="4"/>
  <c r="W16" i="4"/>
  <c r="W19" i="4"/>
  <c r="V25" i="4"/>
  <c r="L38" i="4" s="1"/>
  <c r="W24" i="4"/>
  <c r="T25" i="4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25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21" i="4" s="1"/>
  <c r="M16" i="4"/>
  <c r="M17" i="4"/>
  <c r="M18" i="4"/>
  <c r="M24" i="4"/>
  <c r="J25" i="4"/>
  <c r="K15" i="4" s="1"/>
  <c r="K16" i="4"/>
  <c r="K17" i="4"/>
  <c r="I25" i="4"/>
  <c r="N35" i="4" s="1"/>
  <c r="G25" i="4"/>
  <c r="H23" i="4" s="1"/>
  <c r="H16" i="4"/>
  <c r="H17" i="4"/>
  <c r="E25" i="4"/>
  <c r="F14" i="4" s="1"/>
  <c r="F18" i="4"/>
  <c r="F13" i="4"/>
  <c r="F16" i="4"/>
  <c r="F17" i="4"/>
  <c r="F19" i="4"/>
  <c r="F21" i="4"/>
  <c r="F24" i="4"/>
  <c r="D25" i="4"/>
  <c r="N34" i="4" s="1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3" i="1" s="1"/>
  <c r="K22" i="1"/>
  <c r="O25" i="1"/>
  <c r="O36" i="1" s="1"/>
  <c r="E25" i="1"/>
  <c r="F14" i="1" s="1"/>
  <c r="Y25" i="1"/>
  <c r="O38" i="1" s="1"/>
  <c r="I25" i="1"/>
  <c r="N35" i="1" s="1"/>
  <c r="N25" i="1"/>
  <c r="N36" i="1" s="1"/>
  <c r="D25" i="1"/>
  <c r="N34" i="1"/>
  <c r="X25" i="1"/>
  <c r="N38" i="1" s="1"/>
  <c r="G25" i="1"/>
  <c r="H21" i="1" s="1"/>
  <c r="H22" i="1"/>
  <c r="L25" i="1"/>
  <c r="M20" i="1"/>
  <c r="V25" i="1"/>
  <c r="L38" i="1" s="1"/>
  <c r="Q25" i="1"/>
  <c r="R16" i="1" s="1"/>
  <c r="R25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0" i="1"/>
  <c r="Z19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5" i="1"/>
  <c r="R14" i="1"/>
  <c r="P24" i="1"/>
  <c r="P21" i="1"/>
  <c r="P20" i="1"/>
  <c r="P19" i="1"/>
  <c r="P17" i="1"/>
  <c r="P14" i="1"/>
  <c r="M24" i="1"/>
  <c r="M21" i="1"/>
  <c r="M19" i="1"/>
  <c r="M18" i="1"/>
  <c r="M17" i="1"/>
  <c r="M16" i="1"/>
  <c r="M15" i="1"/>
  <c r="M14" i="1"/>
  <c r="K24" i="1"/>
  <c r="K20" i="1"/>
  <c r="K18" i="1"/>
  <c r="K17" i="1"/>
  <c r="K16" i="1"/>
  <c r="K14" i="1"/>
  <c r="H17" i="1"/>
  <c r="H15" i="1"/>
  <c r="C24" i="1"/>
  <c r="C21" i="1"/>
  <c r="C20" i="1"/>
  <c r="C19" i="1"/>
  <c r="C18" i="1"/>
  <c r="C17" i="1"/>
  <c r="C16" i="1"/>
  <c r="C15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AB25" i="1"/>
  <c r="O34" i="6"/>
  <c r="F22" i="6"/>
  <c r="L34" i="6"/>
  <c r="C22" i="6"/>
  <c r="D46" i="1"/>
  <c r="F45" i="1"/>
  <c r="H19" i="6"/>
  <c r="M13" i="6"/>
  <c r="P19" i="6"/>
  <c r="H22" i="6"/>
  <c r="K22" i="6"/>
  <c r="AB25" i="6"/>
  <c r="AE25" i="6"/>
  <c r="M13" i="5"/>
  <c r="AB25" i="5"/>
  <c r="M39" i="5"/>
  <c r="H22" i="5"/>
  <c r="O38" i="5"/>
  <c r="K22" i="5"/>
  <c r="AE25" i="4"/>
  <c r="H22" i="4"/>
  <c r="K13" i="4"/>
  <c r="K22" i="4"/>
  <c r="Z21" i="4"/>
  <c r="AB25" i="4"/>
  <c r="F20" i="1"/>
  <c r="K21" i="1"/>
  <c r="H16" i="1"/>
  <c r="H13" i="1"/>
  <c r="H14" i="1"/>
  <c r="H18" i="1"/>
  <c r="H24" i="1"/>
  <c r="L35" i="1"/>
  <c r="X25" i="7"/>
  <c r="N39" i="7"/>
  <c r="Z18" i="6"/>
  <c r="C20" i="6"/>
  <c r="C13" i="6"/>
  <c r="F14" i="6"/>
  <c r="R16" i="6"/>
  <c r="U16" i="6"/>
  <c r="U13" i="6"/>
  <c r="U25" i="6"/>
  <c r="H13" i="6"/>
  <c r="H24" i="6"/>
  <c r="T25" i="7"/>
  <c r="O37" i="7" s="1"/>
  <c r="F13" i="6"/>
  <c r="W19" i="6"/>
  <c r="W18" i="6"/>
  <c r="K24" i="6"/>
  <c r="F43" i="6"/>
  <c r="H24" i="5"/>
  <c r="P15" i="5"/>
  <c r="P18" i="5"/>
  <c r="P19" i="5"/>
  <c r="P14" i="5"/>
  <c r="W18" i="5"/>
  <c r="F23" i="7"/>
  <c r="F43" i="5"/>
  <c r="AE21" i="5"/>
  <c r="AE20" i="5"/>
  <c r="C20" i="5"/>
  <c r="F21" i="5"/>
  <c r="F20" i="5"/>
  <c r="C43" i="6"/>
  <c r="S25" i="7"/>
  <c r="N37" i="7" s="1"/>
  <c r="V25" i="7"/>
  <c r="Y25" i="7"/>
  <c r="Z20" i="7"/>
  <c r="H15" i="4"/>
  <c r="K14" i="4"/>
  <c r="C15" i="4"/>
  <c r="F15" i="4"/>
  <c r="P14" i="4"/>
  <c r="P18" i="4"/>
  <c r="H24" i="4"/>
  <c r="K24" i="4"/>
  <c r="C14" i="4"/>
  <c r="F20" i="4"/>
  <c r="W17" i="4"/>
  <c r="E38" i="7"/>
  <c r="Z17" i="4"/>
  <c r="C18" i="4"/>
  <c r="C20" i="4"/>
  <c r="O34" i="4"/>
  <c r="W20" i="4"/>
  <c r="P20" i="4"/>
  <c r="F43" i="4"/>
  <c r="K22" i="7"/>
  <c r="Z14" i="7"/>
  <c r="C24" i="7"/>
  <c r="D40" i="7"/>
  <c r="D45" i="7"/>
  <c r="E45" i="7"/>
  <c r="AA25" i="7"/>
  <c r="L38" i="7" s="1"/>
  <c r="B45" i="7"/>
  <c r="D37" i="7"/>
  <c r="R17" i="7"/>
  <c r="H22" i="7"/>
  <c r="F38" i="1"/>
  <c r="P17" i="7"/>
  <c r="P16" i="7"/>
  <c r="Z16" i="7"/>
  <c r="P39" i="1"/>
  <c r="M16" i="7"/>
  <c r="F43" i="1"/>
  <c r="F24" i="7"/>
  <c r="C22" i="7"/>
  <c r="C23" i="7"/>
  <c r="F22" i="7"/>
  <c r="P39" i="5"/>
  <c r="AE25" i="5"/>
  <c r="C43" i="4"/>
  <c r="C45" i="1"/>
  <c r="K24" i="7"/>
  <c r="F37" i="6"/>
  <c r="C37" i="6"/>
  <c r="U13" i="7"/>
  <c r="F45" i="6"/>
  <c r="C45" i="6"/>
  <c r="C45" i="5"/>
  <c r="F45" i="5"/>
  <c r="F18" i="7"/>
  <c r="F21" i="7"/>
  <c r="L39" i="7"/>
  <c r="W20" i="7"/>
  <c r="W25" i="7"/>
  <c r="O39" i="7"/>
  <c r="Z21" i="7"/>
  <c r="Z25" i="7"/>
  <c r="AE17" i="7"/>
  <c r="C38" i="4"/>
  <c r="F38" i="4"/>
  <c r="F45" i="4"/>
  <c r="C45" i="4"/>
  <c r="K16" i="7"/>
  <c r="AB17" i="7"/>
  <c r="C18" i="7"/>
  <c r="H16" i="7"/>
  <c r="H24" i="7"/>
  <c r="F43" i="7"/>
  <c r="F45" i="7"/>
  <c r="C45" i="7"/>
  <c r="M39" i="7"/>
  <c r="P39" i="7"/>
  <c r="Z21" i="6" l="1"/>
  <c r="Z25" i="6" s="1"/>
  <c r="R13" i="6"/>
  <c r="R25" i="6" s="1"/>
  <c r="U16" i="7"/>
  <c r="U25" i="7" s="1"/>
  <c r="M18" i="6"/>
  <c r="M20" i="6"/>
  <c r="M14" i="6"/>
  <c r="M25" i="6"/>
  <c r="P14" i="6"/>
  <c r="P15" i="6"/>
  <c r="N40" i="6"/>
  <c r="H18" i="6"/>
  <c r="H20" i="6"/>
  <c r="H21" i="6"/>
  <c r="H23" i="6"/>
  <c r="K23" i="6"/>
  <c r="K21" i="6"/>
  <c r="K20" i="6"/>
  <c r="K18" i="6"/>
  <c r="K19" i="6"/>
  <c r="E40" i="7"/>
  <c r="K14" i="6"/>
  <c r="E46" i="6"/>
  <c r="F42" i="6" s="1"/>
  <c r="D46" i="6"/>
  <c r="K15" i="6"/>
  <c r="O35" i="6"/>
  <c r="H14" i="6"/>
  <c r="L35" i="6"/>
  <c r="C25" i="6"/>
  <c r="F25" i="6"/>
  <c r="E35" i="7"/>
  <c r="B46" i="6"/>
  <c r="C44" i="6" s="1"/>
  <c r="K17" i="5"/>
  <c r="L36" i="4"/>
  <c r="M13" i="4"/>
  <c r="M14" i="4"/>
  <c r="M20" i="4"/>
  <c r="P15" i="4"/>
  <c r="P13" i="4"/>
  <c r="O35" i="1"/>
  <c r="K15" i="1"/>
  <c r="K25" i="1" s="1"/>
  <c r="K19" i="1"/>
  <c r="D34" i="7"/>
  <c r="P13" i="5"/>
  <c r="P21" i="5"/>
  <c r="P20" i="5"/>
  <c r="K14" i="5"/>
  <c r="K20" i="5"/>
  <c r="K15" i="5"/>
  <c r="K19" i="5"/>
  <c r="K21" i="5"/>
  <c r="K13" i="5"/>
  <c r="K18" i="5"/>
  <c r="O35" i="5"/>
  <c r="O40" i="5" s="1"/>
  <c r="H18" i="5"/>
  <c r="H15" i="5"/>
  <c r="H14" i="5"/>
  <c r="B39" i="7"/>
  <c r="W22" i="5"/>
  <c r="W25" i="5" s="1"/>
  <c r="Q25" i="7"/>
  <c r="L37" i="5"/>
  <c r="E37" i="7"/>
  <c r="E46" i="5"/>
  <c r="F39" i="5" s="1"/>
  <c r="M20" i="5"/>
  <c r="M25" i="5" s="1"/>
  <c r="N25" i="7"/>
  <c r="N36" i="7" s="1"/>
  <c r="D42" i="7"/>
  <c r="B46" i="5"/>
  <c r="C43" i="5" s="1"/>
  <c r="H23" i="5"/>
  <c r="H20" i="5"/>
  <c r="H19" i="5"/>
  <c r="H21" i="5"/>
  <c r="D46" i="5"/>
  <c r="N40" i="5"/>
  <c r="L35" i="5"/>
  <c r="F13" i="5"/>
  <c r="F15" i="5"/>
  <c r="E36" i="7"/>
  <c r="E34" i="7"/>
  <c r="C13" i="5"/>
  <c r="C14" i="5"/>
  <c r="C15" i="5"/>
  <c r="L25" i="7"/>
  <c r="M14" i="7" s="1"/>
  <c r="E39" i="7"/>
  <c r="K19" i="4"/>
  <c r="O35" i="4"/>
  <c r="K20" i="4"/>
  <c r="K18" i="4"/>
  <c r="J25" i="7"/>
  <c r="O35" i="7" s="1"/>
  <c r="K21" i="4"/>
  <c r="I25" i="7"/>
  <c r="N35" i="7" s="1"/>
  <c r="D35" i="7"/>
  <c r="H14" i="4"/>
  <c r="L35" i="4"/>
  <c r="L40" i="4" s="1"/>
  <c r="H13" i="4"/>
  <c r="H20" i="4"/>
  <c r="H18" i="4"/>
  <c r="H19" i="4"/>
  <c r="H21" i="4"/>
  <c r="AD25" i="7"/>
  <c r="AE13" i="7" s="1"/>
  <c r="Z20" i="4"/>
  <c r="AC25" i="7"/>
  <c r="N38" i="7" s="1"/>
  <c r="Z18" i="4"/>
  <c r="Z25" i="4" s="1"/>
  <c r="D41" i="7"/>
  <c r="E41" i="7"/>
  <c r="W21" i="4"/>
  <c r="AB20" i="7"/>
  <c r="W18" i="4"/>
  <c r="D36" i="7"/>
  <c r="W15" i="4"/>
  <c r="AB21" i="7"/>
  <c r="AB19" i="7"/>
  <c r="AB15" i="7"/>
  <c r="P21" i="4"/>
  <c r="O36" i="4"/>
  <c r="M15" i="4"/>
  <c r="M19" i="4"/>
  <c r="K23" i="4"/>
  <c r="E46" i="4"/>
  <c r="F44" i="4" s="1"/>
  <c r="G25" i="7"/>
  <c r="B36" i="7"/>
  <c r="D46" i="4"/>
  <c r="N40" i="4"/>
  <c r="B25" i="7"/>
  <c r="C15" i="7" s="1"/>
  <c r="B35" i="7"/>
  <c r="B46" i="4"/>
  <c r="C44" i="4" s="1"/>
  <c r="C25" i="4"/>
  <c r="F25" i="4"/>
  <c r="D25" i="7"/>
  <c r="N34" i="7" s="1"/>
  <c r="E25" i="7"/>
  <c r="F14" i="7" s="1"/>
  <c r="U25" i="1"/>
  <c r="U16" i="1"/>
  <c r="L37" i="1"/>
  <c r="AB18" i="7"/>
  <c r="W25" i="1"/>
  <c r="AB13" i="7"/>
  <c r="Z21" i="1"/>
  <c r="Z18" i="1"/>
  <c r="D39" i="7"/>
  <c r="B34" i="7"/>
  <c r="M21" i="7"/>
  <c r="B42" i="7"/>
  <c r="B41" i="7"/>
  <c r="O25" i="7"/>
  <c r="P18" i="1"/>
  <c r="P15" i="1"/>
  <c r="M25" i="1"/>
  <c r="H20" i="1"/>
  <c r="H25" i="1" s="1"/>
  <c r="H19" i="1"/>
  <c r="H23" i="1"/>
  <c r="N40" i="1"/>
  <c r="B40" i="7"/>
  <c r="E46" i="1"/>
  <c r="F44" i="1" s="1"/>
  <c r="B46" i="1"/>
  <c r="O34" i="1"/>
  <c r="F25" i="1"/>
  <c r="F13" i="1"/>
  <c r="C14" i="1"/>
  <c r="L40" i="1"/>
  <c r="M36" i="1" s="1"/>
  <c r="C13" i="1"/>
  <c r="AE21" i="7" l="1"/>
  <c r="AE15" i="7"/>
  <c r="L37" i="7"/>
  <c r="R13" i="7"/>
  <c r="F36" i="6"/>
  <c r="P25" i="6"/>
  <c r="M15" i="7"/>
  <c r="H25" i="6"/>
  <c r="F44" i="6"/>
  <c r="C40" i="6"/>
  <c r="C42" i="6"/>
  <c r="K25" i="6"/>
  <c r="F35" i="6"/>
  <c r="F40" i="6"/>
  <c r="C41" i="6"/>
  <c r="C39" i="6"/>
  <c r="F41" i="6"/>
  <c r="F34" i="6"/>
  <c r="F39" i="6"/>
  <c r="O40" i="6"/>
  <c r="L40" i="6"/>
  <c r="C36" i="6"/>
  <c r="C35" i="6"/>
  <c r="C34" i="6"/>
  <c r="C38" i="5"/>
  <c r="P25" i="4"/>
  <c r="F37" i="1"/>
  <c r="F38" i="5"/>
  <c r="P25" i="5"/>
  <c r="K13" i="7"/>
  <c r="K17" i="7"/>
  <c r="H23" i="7"/>
  <c r="H17" i="7"/>
  <c r="K25" i="5"/>
  <c r="F36" i="5"/>
  <c r="K18" i="7"/>
  <c r="H25" i="5"/>
  <c r="C25" i="5"/>
  <c r="AE20" i="7"/>
  <c r="O38" i="7"/>
  <c r="AE19" i="7"/>
  <c r="AE18" i="7"/>
  <c r="P36" i="5"/>
  <c r="P38" i="5"/>
  <c r="P37" i="5"/>
  <c r="C36" i="5"/>
  <c r="C37" i="5"/>
  <c r="R16" i="7"/>
  <c r="R25" i="7" s="1"/>
  <c r="L40" i="5"/>
  <c r="M35" i="5" s="1"/>
  <c r="F42" i="5"/>
  <c r="F37" i="5"/>
  <c r="F44" i="5"/>
  <c r="F34" i="5"/>
  <c r="F40" i="5"/>
  <c r="F35" i="5"/>
  <c r="F41" i="5"/>
  <c r="M18" i="7"/>
  <c r="L36" i="7"/>
  <c r="C42" i="5"/>
  <c r="C39" i="5"/>
  <c r="K19" i="7"/>
  <c r="C34" i="5"/>
  <c r="C35" i="5"/>
  <c r="C40" i="5"/>
  <c r="C44" i="5"/>
  <c r="C41" i="5"/>
  <c r="P34" i="5"/>
  <c r="P35" i="5"/>
  <c r="E46" i="7"/>
  <c r="H13" i="7"/>
  <c r="F25" i="5"/>
  <c r="C14" i="7"/>
  <c r="L34" i="7"/>
  <c r="C20" i="7"/>
  <c r="C13" i="7"/>
  <c r="M25" i="4"/>
  <c r="M19" i="7"/>
  <c r="M13" i="7"/>
  <c r="M20" i="7"/>
  <c r="K21" i="7"/>
  <c r="K14" i="7"/>
  <c r="K15" i="7"/>
  <c r="K20" i="7"/>
  <c r="N40" i="7"/>
  <c r="K23" i="7"/>
  <c r="K25" i="4"/>
  <c r="F37" i="4"/>
  <c r="H25" i="4"/>
  <c r="C37" i="4"/>
  <c r="L35" i="7"/>
  <c r="M34" i="4"/>
  <c r="M37" i="4"/>
  <c r="AE25" i="7"/>
  <c r="W25" i="4"/>
  <c r="D46" i="7"/>
  <c r="M38" i="4"/>
  <c r="AB25" i="7"/>
  <c r="P13" i="7"/>
  <c r="P14" i="7"/>
  <c r="F36" i="4"/>
  <c r="O36" i="7"/>
  <c r="O40" i="4"/>
  <c r="P18" i="7"/>
  <c r="F35" i="4"/>
  <c r="M35" i="4"/>
  <c r="M36" i="4"/>
  <c r="F42" i="4"/>
  <c r="F40" i="4"/>
  <c r="F41" i="4"/>
  <c r="F34" i="4"/>
  <c r="F39" i="4"/>
  <c r="C34" i="4"/>
  <c r="C42" i="4"/>
  <c r="C39" i="4"/>
  <c r="C40" i="4"/>
  <c r="H19" i="7"/>
  <c r="H15" i="7"/>
  <c r="H14" i="7"/>
  <c r="H21" i="7"/>
  <c r="H20" i="7"/>
  <c r="H18" i="7"/>
  <c r="C36" i="4"/>
  <c r="C41" i="4"/>
  <c r="C35" i="4"/>
  <c r="O34" i="7"/>
  <c r="F15" i="7"/>
  <c r="F13" i="7"/>
  <c r="F20" i="7"/>
  <c r="M37" i="1"/>
  <c r="C44" i="1"/>
  <c r="C37" i="1"/>
  <c r="Z25" i="1"/>
  <c r="B46" i="7"/>
  <c r="C38" i="7" s="1"/>
  <c r="M38" i="1"/>
  <c r="P21" i="7"/>
  <c r="P20" i="7"/>
  <c r="P19" i="7"/>
  <c r="P15" i="7"/>
  <c r="P25" i="1"/>
  <c r="C39" i="1"/>
  <c r="C42" i="1"/>
  <c r="C40" i="1"/>
  <c r="F42" i="1"/>
  <c r="F40" i="1"/>
  <c r="F41" i="1"/>
  <c r="F34" i="1"/>
  <c r="F36" i="1"/>
  <c r="F39" i="1"/>
  <c r="F35" i="1"/>
  <c r="M34" i="1"/>
  <c r="M35" i="1"/>
  <c r="C34" i="1"/>
  <c r="C36" i="1"/>
  <c r="C35" i="1"/>
  <c r="C41" i="1"/>
  <c r="O40" i="1"/>
  <c r="C25" i="1"/>
  <c r="M37" i="6" l="1"/>
  <c r="M38" i="6"/>
  <c r="P37" i="6"/>
  <c r="P38" i="6"/>
  <c r="M34" i="6"/>
  <c r="M36" i="6"/>
  <c r="P34" i="6"/>
  <c r="P36" i="6"/>
  <c r="M35" i="6"/>
  <c r="P35" i="6"/>
  <c r="F46" i="6"/>
  <c r="C46" i="6"/>
  <c r="L40" i="7"/>
  <c r="M35" i="7" s="1"/>
  <c r="F42" i="7"/>
  <c r="F38" i="7"/>
  <c r="M34" i="5"/>
  <c r="M37" i="5"/>
  <c r="M38" i="5"/>
  <c r="C40" i="7"/>
  <c r="C43" i="7"/>
  <c r="M36" i="5"/>
  <c r="F46" i="5"/>
  <c r="F37" i="7"/>
  <c r="F40" i="7"/>
  <c r="F34" i="7"/>
  <c r="F39" i="7"/>
  <c r="F36" i="7"/>
  <c r="F41" i="7"/>
  <c r="F44" i="7"/>
  <c r="C46" i="5"/>
  <c r="M25" i="7"/>
  <c r="F35" i="7"/>
  <c r="K25" i="7"/>
  <c r="P40" i="5"/>
  <c r="O40" i="7"/>
  <c r="P37" i="7" s="1"/>
  <c r="C25" i="7"/>
  <c r="P38" i="4"/>
  <c r="P37" i="4"/>
  <c r="P25" i="7"/>
  <c r="P34" i="4"/>
  <c r="P35" i="4"/>
  <c r="P36" i="4"/>
  <c r="M40" i="4"/>
  <c r="F46" i="4"/>
  <c r="H25" i="7"/>
  <c r="C46" i="4"/>
  <c r="C41" i="7"/>
  <c r="C36" i="7"/>
  <c r="F25" i="7"/>
  <c r="P38" i="1"/>
  <c r="P37" i="1"/>
  <c r="C39" i="7"/>
  <c r="C37" i="7"/>
  <c r="C35" i="7"/>
  <c r="C42" i="7"/>
  <c r="C34" i="7"/>
  <c r="C44" i="7"/>
  <c r="P35" i="1"/>
  <c r="P36" i="1"/>
  <c r="F46" i="1"/>
  <c r="M40" i="1"/>
  <c r="P34" i="1"/>
  <c r="C46" i="1"/>
  <c r="M40" i="6" l="1"/>
  <c r="P40" i="6"/>
  <c r="M38" i="7"/>
  <c r="M34" i="7"/>
  <c r="M37" i="7"/>
  <c r="M36" i="7"/>
  <c r="M40" i="5"/>
  <c r="F46" i="7"/>
  <c r="P36" i="7"/>
  <c r="P38" i="7"/>
  <c r="P35" i="7"/>
  <c r="P34" i="7"/>
  <c r="P40" i="4"/>
  <c r="C46" i="7"/>
  <c r="P40" i="1"/>
  <c r="M40" i="7" l="1"/>
  <c r="P40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<sst xmlns="http://schemas.openxmlformats.org/spreadsheetml/2006/main" count="457" uniqueCount="63">
  <si>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</si>
  <si>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</si>
  <si>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</si>
  <si>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</si>
  <si>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</si>
  <si>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</si>
  <si>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</si>
  <si>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</si>
  <si>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</si>
  <si>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</si>
  <si>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</si>
  <si>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</si>
  <si>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</si>
  <si>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</si>
  <si>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</si>
  <si>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</si>
  <si>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</si>
  <si>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</si>
  <si>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</si>
  <si>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</si>
  <si>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</si>
  <si>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</si>
  <si>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</si>
  <si>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</si>
  <si>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</si>
  <si>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</si>
  <si>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</si>
  <si>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</si>
  <si>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</si>
  <si>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</si>
  <si>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</si>
  <si>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</si>
  <si>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</si>
  <si>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</si>
  <si>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</si>
  <si>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</si>
  <si>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</si>
  <si>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</si>
  <si>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</si>
  <si>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</si>
  <si>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</si>
  <si>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</si>
  <si>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</si>
  <si>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</si>
  <si>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</si>
  <si>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</si>
  <si>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</si>
  <si>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</si>
  <si>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</si>
  <si>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</si>
  <si>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</si>
  <si>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</si>
  <si>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</si>
  <si>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</si>
  <si>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</si>
  <si>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</si>
  <si>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</si>
  <si>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</si>
  <si>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</si>
  <si>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</si>
  <si>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</si>
  <si>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AJUNTAMENT DE BARCELONA (GERÈNCIES i DISTRICTES)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</si>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</sst>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241</c:v>
                </c:pt>
                <c:pt idx="1">
                  <c:v>146</c:v>
                </c:pt>
                <c:pt idx="2">
                  <c:v>136</c:v>
                </c:pt>
                <c:pt idx="3">
                  <c:v>6</c:v>
                </c:pt>
                <c:pt idx="4">
                  <c:v>0</c:v>
                </c:pt>
                <c:pt idx="5">
                  <c:v>26</c:v>
                </c:pt>
                <c:pt idx="6">
                  <c:v>510</c:v>
                </c:pt>
                <c:pt idx="7">
                  <c:v>2903</c:v>
                </c:pt>
                <c:pt idx="8">
                  <c:v>4385</c:v>
                </c:pt>
                <c:pt idx="9">
                  <c:v>0</c:v>
                </c:pt>
                <c:pt idx="10">
                  <c:v>76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133075542.80999997</c:v>
                </c:pt>
                <c:pt idx="1">
                  <c:v>13596665.58</c:v>
                </c:pt>
                <c:pt idx="2">
                  <c:v>4057223.2500000005</c:v>
                </c:pt>
                <c:pt idx="3">
                  <c:v>658921.21</c:v>
                </c:pt>
                <c:pt idx="4">
                  <c:v>0</c:v>
                </c:pt>
                <c:pt idx="5">
                  <c:v>2304333.65</c:v>
                </c:pt>
                <c:pt idx="6">
                  <c:v>36649239.040000007</c:v>
                </c:pt>
                <c:pt idx="7">
                  <c:v>31405069.880000003</c:v>
                </c:pt>
                <c:pt idx="8">
                  <c:v>2977004.7399999988</c:v>
                </c:pt>
                <c:pt idx="9">
                  <c:v>0</c:v>
                </c:pt>
                <c:pt idx="10">
                  <c:v>435630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355</c:v>
                </c:pt>
                <c:pt idx="1">
                  <c:v>5282</c:v>
                </c:pt>
                <c:pt idx="2">
                  <c:v>2664</c:v>
                </c:pt>
                <c:pt idx="3">
                  <c:v>7</c:v>
                </c:pt>
                <c:pt idx="4">
                  <c:v>121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24759887.43</c:v>
                </c:pt>
                <c:pt idx="1">
                  <c:v>165943762.04999998</c:v>
                </c:pt>
                <c:pt idx="2">
                  <c:v>27895627.859999996</c:v>
                </c:pt>
                <c:pt idx="3">
                  <c:v>827616.48</c:v>
                </c:pt>
                <c:pt idx="4">
                  <c:v>5732736.3399999999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102" t="s">
        <v>62</v>
      </c>
      <c r="J7" s="91">
        <v>44972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5</v>
      </c>
      <c r="C13" s="20">
        <f t="shared" ref="C13:C24" si="0">IF(B13,B13/$B$25,"")</f>
        <v>0.16666666666666666</v>
      </c>
      <c r="D13" s="4">
        <v>4818831.09</v>
      </c>
      <c r="E13" s="5">
        <v>5830785.5999999996</v>
      </c>
      <c r="F13" s="21">
        <f t="shared" ref="F13:F24" si="1">IF(E13,E13/$E$25,"")</f>
        <v>0.73656429657524136</v>
      </c>
      <c r="G13" s="1">
        <v>39</v>
      </c>
      <c r="H13" s="20">
        <f t="shared" ref="H13:H24" si="2">IF(G13,G13/$G$25,"")</f>
        <v>4.6987951807228916E-2</v>
      </c>
      <c r="I13" s="4">
        <v>31239311.550000001</v>
      </c>
      <c r="J13" s="5">
        <v>36736931.430000007</v>
      </c>
      <c r="K13" s="21">
        <f t="shared" ref="K13:K24" si="3">IF(J13,J13/$J$25,"")</f>
        <v>0.82231710144213355</v>
      </c>
      <c r="L13" s="1">
        <v>9</v>
      </c>
      <c r="M13" s="20">
        <f t="shared" ref="M13:M24" si="4">IF(L13,L13/$L$25,"")</f>
        <v>2.2499999999999999E-2</v>
      </c>
      <c r="N13" s="4">
        <v>4752683.87</v>
      </c>
      <c r="O13" s="5">
        <v>5729233.5899999999</v>
      </c>
      <c r="P13" s="21">
        <f t="shared" ref="P13:P24" si="5">IF(O13,O13/$O$25,"")</f>
        <v>0.8457231868140771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>
        <v>1</v>
      </c>
      <c r="W13" s="20">
        <f t="shared" ref="W13:W24" si="8">IF(V13,V13/$V$25,"")</f>
        <v>3.5714285714285712E-2</v>
      </c>
      <c r="X13" s="4">
        <v>383150</v>
      </c>
      <c r="Y13" s="5">
        <v>441526.6</v>
      </c>
      <c r="Z13" s="21">
        <f t="shared" ref="Z13:Z24" si="9">IF(Y13,Y13/$Y$25,"")</f>
        <v>0.22681304581274556</v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3</v>
      </c>
      <c r="C14" s="20">
        <f t="shared" si="0"/>
        <v>0.1</v>
      </c>
      <c r="D14" s="6">
        <v>1176256.1099999999</v>
      </c>
      <c r="E14" s="7">
        <v>1423269.9000000001</v>
      </c>
      <c r="F14" s="21">
        <f t="shared" si="1"/>
        <v>0.17979220376928529</v>
      </c>
      <c r="G14" s="2">
        <v>9</v>
      </c>
      <c r="H14" s="20">
        <f t="shared" si="2"/>
        <v>1.0843373493975903E-2</v>
      </c>
      <c r="I14" s="6">
        <v>437597.19</v>
      </c>
      <c r="J14" s="7">
        <v>512452.98</v>
      </c>
      <c r="K14" s="21">
        <f t="shared" si="3"/>
        <v>1.14707144210434E-2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12</v>
      </c>
      <c r="H15" s="20">
        <f t="shared" si="2"/>
        <v>1.4457831325301205E-2</v>
      </c>
      <c r="I15" s="6">
        <v>355879.10000000003</v>
      </c>
      <c r="J15" s="7">
        <v>414426.13</v>
      </c>
      <c r="K15" s="21">
        <f t="shared" si="3"/>
        <v>9.2764877391252696E-3</v>
      </c>
      <c r="L15" s="2">
        <v>4</v>
      </c>
      <c r="M15" s="20">
        <f t="shared" si="4"/>
        <v>0.01</v>
      </c>
      <c r="N15" s="6">
        <v>111162.8</v>
      </c>
      <c r="O15" s="7">
        <v>134506.99</v>
      </c>
      <c r="P15" s="21">
        <f t="shared" si="5"/>
        <v>1.9855304980080101E-2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1</v>
      </c>
      <c r="R16" s="20">
        <f t="shared" si="6"/>
        <v>1</v>
      </c>
      <c r="S16" s="6">
        <v>295543.37</v>
      </c>
      <c r="T16" s="7">
        <v>295543.37</v>
      </c>
      <c r="U16" s="21">
        <f t="shared" si="7"/>
        <v>1</v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1.2048192771084338E-3</v>
      </c>
      <c r="I18" s="69">
        <v>213486.81</v>
      </c>
      <c r="J18" s="70">
        <v>234835.49</v>
      </c>
      <c r="K18" s="67">
        <f t="shared" si="3"/>
        <v>5.2565424474959504E-3</v>
      </c>
      <c r="L18" s="71">
        <v>3</v>
      </c>
      <c r="M18" s="66">
        <f t="shared" si="4"/>
        <v>7.4999999999999997E-3</v>
      </c>
      <c r="N18" s="69">
        <v>182189.68</v>
      </c>
      <c r="O18" s="70">
        <v>212618.53999999998</v>
      </c>
      <c r="P18" s="67">
        <f t="shared" si="5"/>
        <v>3.1385773751381692E-2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2</v>
      </c>
      <c r="W18" s="66">
        <f t="shared" si="8"/>
        <v>7.1428571428571425E-2</v>
      </c>
      <c r="X18" s="69">
        <v>17438</v>
      </c>
      <c r="Y18" s="70">
        <v>19053.18</v>
      </c>
      <c r="Z18" s="67">
        <f t="shared" si="9"/>
        <v>9.7876544430584422E-3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88</v>
      </c>
      <c r="H19" s="20">
        <f t="shared" si="2"/>
        <v>0.10602409638554217</v>
      </c>
      <c r="I19" s="6">
        <v>2300521.3499999992</v>
      </c>
      <c r="J19" s="7">
        <v>2752149.86</v>
      </c>
      <c r="K19" s="21">
        <f t="shared" si="3"/>
        <v>6.1603944791138836E-2</v>
      </c>
      <c r="L19" s="2">
        <v>37</v>
      </c>
      <c r="M19" s="20">
        <f t="shared" si="4"/>
        <v>9.2499999999999999E-2</v>
      </c>
      <c r="N19" s="6">
        <v>148119.18000000002</v>
      </c>
      <c r="O19" s="7">
        <v>179224.19999999998</v>
      </c>
      <c r="P19" s="21">
        <f t="shared" si="5"/>
        <v>2.6456254435630981E-2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>
        <v>2</v>
      </c>
      <c r="W19" s="20">
        <f t="shared" si="8"/>
        <v>7.1428571428571425E-2</v>
      </c>
      <c r="X19" s="6">
        <v>1041322.31</v>
      </c>
      <c r="Y19" s="7">
        <v>1260000</v>
      </c>
      <c r="Z19" s="21">
        <f t="shared" si="9"/>
        <v>0.64726437257474279</v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22</v>
      </c>
      <c r="C20" s="66">
        <f t="shared" si="0"/>
        <v>0.73333333333333328</v>
      </c>
      <c r="D20" s="69">
        <v>547221.6100000001</v>
      </c>
      <c r="E20" s="70">
        <v>662138.14</v>
      </c>
      <c r="F20" s="21">
        <f t="shared" si="1"/>
        <v>8.3643499655473311E-2</v>
      </c>
      <c r="G20" s="68">
        <v>428</v>
      </c>
      <c r="H20" s="66">
        <f t="shared" si="2"/>
        <v>0.51566265060240968</v>
      </c>
      <c r="I20" s="69">
        <v>3000105.7100000004</v>
      </c>
      <c r="J20" s="70">
        <v>3576173.8200000008</v>
      </c>
      <c r="K20" s="67">
        <f t="shared" si="3"/>
        <v>8.0048843913897966E-2</v>
      </c>
      <c r="L20" s="68">
        <v>67</v>
      </c>
      <c r="M20" s="66">
        <f t="shared" si="4"/>
        <v>0.16750000000000001</v>
      </c>
      <c r="N20" s="69">
        <v>350695.8299999999</v>
      </c>
      <c r="O20" s="70">
        <v>421963.43</v>
      </c>
      <c r="P20" s="67">
        <f t="shared" si="5"/>
        <v>6.2288306303565945E-2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12</v>
      </c>
      <c r="W20" s="66">
        <f t="shared" si="8"/>
        <v>0.42857142857142855</v>
      </c>
      <c r="X20" s="69">
        <v>194818.68000000002</v>
      </c>
      <c r="Y20" s="70">
        <v>223923.84</v>
      </c>
      <c r="Z20" s="67">
        <f t="shared" si="9"/>
        <v>0.11503009825565641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221</v>
      </c>
      <c r="H21" s="20">
        <f t="shared" si="2"/>
        <v>0.26626506024096386</v>
      </c>
      <c r="I21" s="98">
        <v>126960.51000000002</v>
      </c>
      <c r="J21" s="98">
        <v>149351.83000000002</v>
      </c>
      <c r="K21" s="21">
        <f t="shared" si="3"/>
        <v>3.3430817207663085E-3</v>
      </c>
      <c r="L21" s="2">
        <v>280</v>
      </c>
      <c r="M21" s="20">
        <f t="shared" si="4"/>
        <v>0.7</v>
      </c>
      <c r="N21" s="6">
        <v>80970.569999999949</v>
      </c>
      <c r="O21" s="7">
        <v>96813.56000000007</v>
      </c>
      <c r="P21" s="21">
        <f t="shared" si="5"/>
        <v>1.4291173715264055E-2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11</v>
      </c>
      <c r="W21" s="20">
        <f t="shared" si="8"/>
        <v>0.39285714285714285</v>
      </c>
      <c r="X21" s="100">
        <v>2034</v>
      </c>
      <c r="Y21" s="100">
        <v>2150.7199999999998</v>
      </c>
      <c r="Z21" s="21">
        <f t="shared" si="9"/>
        <v>1.1048289137967863E-3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32</v>
      </c>
      <c r="H23" s="20">
        <f t="shared" si="2"/>
        <v>3.8554216867469883E-2</v>
      </c>
      <c r="I23" s="98">
        <v>295364.26</v>
      </c>
      <c r="J23" s="98">
        <v>298575</v>
      </c>
      <c r="K23" s="21">
        <f t="shared" si="3"/>
        <v>6.6832835243987327E-3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30</v>
      </c>
      <c r="C25" s="17">
        <f t="shared" si="12"/>
        <v>1</v>
      </c>
      <c r="D25" s="18">
        <f t="shared" si="12"/>
        <v>6542308.8099999996</v>
      </c>
      <c r="E25" s="18">
        <f t="shared" si="12"/>
        <v>7916193.6399999997</v>
      </c>
      <c r="F25" s="19">
        <f t="shared" si="12"/>
        <v>1</v>
      </c>
      <c r="G25" s="16">
        <f t="shared" si="12"/>
        <v>830</v>
      </c>
      <c r="H25" s="17">
        <f t="shared" si="12"/>
        <v>1</v>
      </c>
      <c r="I25" s="18">
        <f t="shared" si="12"/>
        <v>37969226.479999997</v>
      </c>
      <c r="J25" s="18">
        <f t="shared" si="12"/>
        <v>44674896.540000007</v>
      </c>
      <c r="K25" s="19">
        <f t="shared" si="12"/>
        <v>1.0000000000000002</v>
      </c>
      <c r="L25" s="16">
        <f t="shared" si="12"/>
        <v>400</v>
      </c>
      <c r="M25" s="17">
        <f t="shared" si="12"/>
        <v>1</v>
      </c>
      <c r="N25" s="18">
        <f t="shared" si="12"/>
        <v>5625821.9299999997</v>
      </c>
      <c r="O25" s="18">
        <f t="shared" si="12"/>
        <v>6774360.3100000005</v>
      </c>
      <c r="P25" s="19">
        <f t="shared" si="12"/>
        <v>0.99999999999999989</v>
      </c>
      <c r="Q25" s="16">
        <f t="shared" si="12"/>
        <v>1</v>
      </c>
      <c r="R25" s="17">
        <f t="shared" si="12"/>
        <v>1</v>
      </c>
      <c r="S25" s="18">
        <f t="shared" si="12"/>
        <v>295543.37</v>
      </c>
      <c r="T25" s="18">
        <f t="shared" si="12"/>
        <v>295543.37</v>
      </c>
      <c r="U25" s="19">
        <f t="shared" si="12"/>
        <v>1</v>
      </c>
      <c r="V25" s="16">
        <f t="shared" si="12"/>
        <v>28</v>
      </c>
      <c r="W25" s="17">
        <f t="shared" si="12"/>
        <v>1</v>
      </c>
      <c r="X25" s="18">
        <f t="shared" si="12"/>
        <v>1638762.99</v>
      </c>
      <c r="Y25" s="18">
        <f t="shared" si="12"/>
        <v>1946654.34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6" t="s">
        <v>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54</v>
      </c>
      <c r="C34" s="8">
        <f t="shared" ref="C34:C43" si="14">IF(B34,B34/$B$46,"")</f>
        <v>4.1892940263770363E-2</v>
      </c>
      <c r="D34" s="10">
        <f t="shared" ref="D34:D45" si="15">D13+I13+N13+S13+AC13+X13</f>
        <v>41193976.509999998</v>
      </c>
      <c r="E34" s="11">
        <f t="shared" ref="E34:E45" si="16">E13+J13+O13+T13+AD13+Y13</f>
        <v>48738477.220000006</v>
      </c>
      <c r="F34" s="21">
        <f t="shared" ref="F34:F43" si="17">IF(E34,E34/$E$46,"")</f>
        <v>0.79111082217873074</v>
      </c>
      <c r="J34" s="150" t="s">
        <v>3</v>
      </c>
      <c r="K34" s="151"/>
      <c r="L34" s="57">
        <f>B25</f>
        <v>30</v>
      </c>
      <c r="M34" s="8">
        <f t="shared" ref="M34:M39" si="18">IF(L34,L34/$L$40,"")</f>
        <v>2.3273855702094646E-2</v>
      </c>
      <c r="N34" s="58">
        <f>D25</f>
        <v>6542308.8099999996</v>
      </c>
      <c r="O34" s="58">
        <f>E25</f>
        <v>7916193.6399999997</v>
      </c>
      <c r="P34" s="59">
        <f t="shared" ref="P34:P39" si="19">IF(O34,O34/$O$40,"")</f>
        <v>0.12849368335407418</v>
      </c>
    </row>
    <row r="35" spans="1:33" s="25" customFormat="1" ht="30" customHeight="1" x14ac:dyDescent="0.3">
      <c r="A35" s="43" t="s">
        <v>18</v>
      </c>
      <c r="B35" s="12">
        <f t="shared" si="13"/>
        <v>12</v>
      </c>
      <c r="C35" s="8">
        <f t="shared" si="14"/>
        <v>9.3095422808378587E-3</v>
      </c>
      <c r="D35" s="13">
        <f t="shared" si="15"/>
        <v>1613853.2999999998</v>
      </c>
      <c r="E35" s="14">
        <f t="shared" si="16"/>
        <v>1935722.8800000001</v>
      </c>
      <c r="F35" s="21">
        <f t="shared" si="17"/>
        <v>3.142017162732727E-2</v>
      </c>
      <c r="J35" s="146" t="s">
        <v>1</v>
      </c>
      <c r="K35" s="147"/>
      <c r="L35" s="60">
        <f>G25</f>
        <v>830</v>
      </c>
      <c r="M35" s="8">
        <f t="shared" si="18"/>
        <v>0.64391000775795193</v>
      </c>
      <c r="N35" s="61">
        <f>I25</f>
        <v>37969226.479999997</v>
      </c>
      <c r="O35" s="61">
        <f>J25</f>
        <v>44674896.540000007</v>
      </c>
      <c r="P35" s="59">
        <f t="shared" si="19"/>
        <v>0.72515179276069164</v>
      </c>
    </row>
    <row r="36" spans="1:33" ht="30" customHeight="1" x14ac:dyDescent="0.3">
      <c r="A36" s="43" t="s">
        <v>19</v>
      </c>
      <c r="B36" s="12">
        <f t="shared" si="13"/>
        <v>16</v>
      </c>
      <c r="C36" s="8">
        <f t="shared" si="14"/>
        <v>1.2412723041117145E-2</v>
      </c>
      <c r="D36" s="13">
        <f t="shared" si="15"/>
        <v>467041.9</v>
      </c>
      <c r="E36" s="14">
        <f t="shared" si="16"/>
        <v>548933.12</v>
      </c>
      <c r="F36" s="21">
        <f t="shared" si="17"/>
        <v>8.9101456724653867E-3</v>
      </c>
      <c r="G36" s="25"/>
      <c r="J36" s="146" t="s">
        <v>2</v>
      </c>
      <c r="K36" s="147"/>
      <c r="L36" s="60">
        <f>L25</f>
        <v>400</v>
      </c>
      <c r="M36" s="8">
        <f t="shared" si="18"/>
        <v>0.3103180760279286</v>
      </c>
      <c r="N36" s="61">
        <f>N25</f>
        <v>5625821.9299999997</v>
      </c>
      <c r="O36" s="61">
        <f>O25</f>
        <v>6774360.3100000005</v>
      </c>
      <c r="P36" s="59">
        <f t="shared" si="19"/>
        <v>0.10995972915583554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1</v>
      </c>
      <c r="C37" s="8">
        <f t="shared" si="14"/>
        <v>7.7579519006982156E-4</v>
      </c>
      <c r="D37" s="13">
        <f t="shared" si="15"/>
        <v>295543.37</v>
      </c>
      <c r="E37" s="14">
        <f t="shared" si="16"/>
        <v>295543.37</v>
      </c>
      <c r="F37" s="21">
        <f t="shared" si="17"/>
        <v>4.7971863662213286E-3</v>
      </c>
      <c r="G37" s="25"/>
      <c r="J37" s="146" t="s">
        <v>34</v>
      </c>
      <c r="K37" s="147"/>
      <c r="L37" s="60">
        <f>Q25</f>
        <v>1</v>
      </c>
      <c r="M37" s="8">
        <f t="shared" si="18"/>
        <v>7.7579519006982156E-4</v>
      </c>
      <c r="N37" s="61">
        <f>S25</f>
        <v>295543.37</v>
      </c>
      <c r="O37" s="61">
        <f>T25</f>
        <v>295543.37</v>
      </c>
      <c r="P37" s="59">
        <f t="shared" si="19"/>
        <v>4.7971863662213277E-3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28</v>
      </c>
      <c r="M38" s="8">
        <f t="shared" si="18"/>
        <v>2.1722265321955005E-2</v>
      </c>
      <c r="N38" s="61">
        <f>X25</f>
        <v>1638762.99</v>
      </c>
      <c r="O38" s="61">
        <f>Y25</f>
        <v>1946654.34</v>
      </c>
      <c r="P38" s="59">
        <f t="shared" si="19"/>
        <v>3.1597608363177217E-2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6</v>
      </c>
      <c r="C39" s="8">
        <f t="shared" si="14"/>
        <v>4.6547711404189293E-3</v>
      </c>
      <c r="D39" s="13">
        <f t="shared" si="15"/>
        <v>413114.49</v>
      </c>
      <c r="E39" s="22">
        <f t="shared" si="16"/>
        <v>466507.20999999996</v>
      </c>
      <c r="F39" s="21">
        <f t="shared" si="17"/>
        <v>7.5722288324584991E-3</v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127</v>
      </c>
      <c r="C40" s="8">
        <f t="shared" si="14"/>
        <v>9.8525989138867343E-2</v>
      </c>
      <c r="D40" s="13">
        <f t="shared" si="15"/>
        <v>3489962.8399999994</v>
      </c>
      <c r="E40" s="23">
        <f t="shared" si="16"/>
        <v>4191374.06</v>
      </c>
      <c r="F40" s="21">
        <f t="shared" si="17"/>
        <v>6.8033339730699208E-2</v>
      </c>
      <c r="G40" s="25"/>
      <c r="J40" s="148" t="s">
        <v>0</v>
      </c>
      <c r="K40" s="149"/>
      <c r="L40" s="83">
        <f>SUM(L34:L39)</f>
        <v>1289</v>
      </c>
      <c r="M40" s="17">
        <f>SUM(M34:M39)</f>
        <v>1</v>
      </c>
      <c r="N40" s="84">
        <f>SUM(N34:N39)</f>
        <v>52071663.579999998</v>
      </c>
      <c r="O40" s="85">
        <f>SUM(O34:O39)</f>
        <v>61607648.20000001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529</v>
      </c>
      <c r="C41" s="8">
        <f t="shared" si="14"/>
        <v>0.41039565554693563</v>
      </c>
      <c r="D41" s="13">
        <f t="shared" si="15"/>
        <v>4092841.8300000005</v>
      </c>
      <c r="E41" s="23">
        <f t="shared" si="16"/>
        <v>4884199.2300000004</v>
      </c>
      <c r="F41" s="21">
        <f t="shared" si="17"/>
        <v>7.9279105317316759E-2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512</v>
      </c>
      <c r="C42" s="8">
        <f t="shared" si="14"/>
        <v>0.39720713731574864</v>
      </c>
      <c r="D42" s="13">
        <f t="shared" si="15"/>
        <v>209965.07999999996</v>
      </c>
      <c r="E42" s="14">
        <f t="shared" si="16"/>
        <v>248316.11000000007</v>
      </c>
      <c r="F42" s="21">
        <f t="shared" si="17"/>
        <v>4.0306052455350841E-3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32</v>
      </c>
      <c r="C44" s="8">
        <f t="shared" ref="C44" si="20">IF(B44,B44/$B$46,"")</f>
        <v>2.482544608223429E-2</v>
      </c>
      <c r="D44" s="13">
        <f t="shared" si="15"/>
        <v>295364.26</v>
      </c>
      <c r="E44" s="14">
        <f t="shared" si="16"/>
        <v>298575</v>
      </c>
      <c r="F44" s="21">
        <f t="shared" ref="F44" si="21">IF(E44,E44/$E$46,"")</f>
        <v>4.8463950292457359E-3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1289</v>
      </c>
      <c r="C46" s="17">
        <f>SUM(C34:C45)</f>
        <v>1</v>
      </c>
      <c r="D46" s="18">
        <f>SUM(D34:D45)</f>
        <v>52071663.579999983</v>
      </c>
      <c r="E46" s="18">
        <f>SUM(E34:E45)</f>
        <v>61607648.200000003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rintOptions horizontalCentered="1"/>
  <pageMargins left="0.19685039370078741" right="0.19685039370078741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8" sqref="A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102" t="s">
        <v>62</v>
      </c>
      <c r="J7" s="91">
        <v>44972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f>41+2</f>
        <v>43</v>
      </c>
      <c r="H13" s="20">
        <f t="shared" ref="H13:H21" si="2">IF(G13,G13/$G$25,"")</f>
        <v>3.3179012345679014E-2</v>
      </c>
      <c r="I13" s="4">
        <f>15676553.27+469779.82</f>
        <v>16146333.09</v>
      </c>
      <c r="J13" s="5">
        <f>18673490.03+568433.57</f>
        <v>19241923.600000001</v>
      </c>
      <c r="K13" s="21">
        <f t="shared" ref="K13:K21" si="3">IF(J13,J13/$J$25,"")</f>
        <v>0.47342747901206544</v>
      </c>
      <c r="L13" s="1">
        <v>9</v>
      </c>
      <c r="M13" s="20">
        <f t="shared" ref="M13:M21" si="4">IF(L13,L13/$L$25,"")</f>
        <v>1.3888888888888888E-2</v>
      </c>
      <c r="N13" s="4">
        <v>3316482.73</v>
      </c>
      <c r="O13" s="5">
        <v>4012944.1100000003</v>
      </c>
      <c r="P13" s="21">
        <f t="shared" ref="P13:P21" si="5">IF(O13,O13/$O$25,"")</f>
        <v>0.64875764277014869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>
        <v>3</v>
      </c>
      <c r="C14" s="20">
        <f t="shared" si="0"/>
        <v>4.8387096774193547E-2</v>
      </c>
      <c r="D14" s="6">
        <v>348552.38</v>
      </c>
      <c r="E14" s="7">
        <v>421748.37</v>
      </c>
      <c r="F14" s="21">
        <f t="shared" si="1"/>
        <v>0.17924823573153023</v>
      </c>
      <c r="G14" s="2">
        <f>17+1</f>
        <v>18</v>
      </c>
      <c r="H14" s="20">
        <f t="shared" si="2"/>
        <v>1.3888888888888888E-2</v>
      </c>
      <c r="I14" s="6">
        <f>788917.27+59184</f>
        <v>848101.27</v>
      </c>
      <c r="J14" s="7">
        <f>954089.91+71612.64</f>
        <v>1025702.55</v>
      </c>
      <c r="K14" s="21">
        <f t="shared" si="3"/>
        <v>2.5236342403040568E-2</v>
      </c>
      <c r="L14" s="2">
        <v>11</v>
      </c>
      <c r="M14" s="20">
        <f t="shared" si="4"/>
        <v>1.6975308641975308E-2</v>
      </c>
      <c r="N14" s="6">
        <v>490339.68</v>
      </c>
      <c r="O14" s="7">
        <v>593311.03</v>
      </c>
      <c r="P14" s="21">
        <f t="shared" si="5"/>
        <v>9.5918371824104218E-2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1.6129032258064516E-2</v>
      </c>
      <c r="D15" s="6">
        <v>46120</v>
      </c>
      <c r="E15" s="7">
        <v>55805.2</v>
      </c>
      <c r="F15" s="21">
        <f t="shared" si="1"/>
        <v>2.3717895209992609E-2</v>
      </c>
      <c r="G15" s="2">
        <f>19+6</f>
        <v>25</v>
      </c>
      <c r="H15" s="20">
        <f t="shared" si="2"/>
        <v>1.9290123456790122E-2</v>
      </c>
      <c r="I15" s="6">
        <f>453471.79+138267.42</f>
        <v>591739.21</v>
      </c>
      <c r="J15" s="7">
        <f>542501.66+164740.12</f>
        <v>707241.78</v>
      </c>
      <c r="K15" s="21">
        <f t="shared" si="3"/>
        <v>1.740094701121284E-2</v>
      </c>
      <c r="L15" s="2">
        <f>15+2</f>
        <v>17</v>
      </c>
      <c r="M15" s="20">
        <f t="shared" si="4"/>
        <v>2.6234567901234566E-2</v>
      </c>
      <c r="N15" s="6">
        <f>318278.45+20181.5</f>
        <v>338459.95</v>
      </c>
      <c r="O15" s="7">
        <f>375202.11+23959.38</f>
        <v>399161.49</v>
      </c>
      <c r="P15" s="21">
        <f t="shared" si="5"/>
        <v>6.4530942928338025E-2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>
        <v>1</v>
      </c>
      <c r="W15" s="20">
        <f t="shared" si="8"/>
        <v>4.7619047619047616E-2</v>
      </c>
      <c r="X15" s="6">
        <v>612.36</v>
      </c>
      <c r="Y15" s="7">
        <v>612.36</v>
      </c>
      <c r="Z15" s="21">
        <f t="shared" si="9"/>
        <v>4.3804875019904481E-3</v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3</v>
      </c>
      <c r="R16" s="20">
        <f t="shared" si="6"/>
        <v>1</v>
      </c>
      <c r="S16" s="6">
        <v>339377.84</v>
      </c>
      <c r="T16" s="7">
        <v>339377.84</v>
      </c>
      <c r="U16" s="21">
        <f t="shared" si="7"/>
        <v>1</v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f>5+1</f>
        <v>6</v>
      </c>
      <c r="H18" s="66">
        <f t="shared" si="2"/>
        <v>4.6296296296296294E-3</v>
      </c>
      <c r="I18" s="69">
        <f>921663.47+44570.52</f>
        <v>966233.99</v>
      </c>
      <c r="J18" s="70">
        <f>1115212.78+44570.52</f>
        <v>1159783.3</v>
      </c>
      <c r="K18" s="67">
        <f t="shared" si="3"/>
        <v>2.8535259537112702E-2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2</v>
      </c>
      <c r="W18" s="66">
        <f t="shared" si="8"/>
        <v>9.5238095238095233E-2</v>
      </c>
      <c r="X18" s="69">
        <v>19291</v>
      </c>
      <c r="Y18" s="70">
        <v>21158.940000000002</v>
      </c>
      <c r="Z18" s="67">
        <f t="shared" si="9"/>
        <v>0.15135944905834112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89</v>
      </c>
      <c r="H19" s="20">
        <f t="shared" si="2"/>
        <v>6.8672839506172839E-2</v>
      </c>
      <c r="I19" s="6">
        <v>10862054.240000002</v>
      </c>
      <c r="J19" s="7">
        <v>13111675.029999999</v>
      </c>
      <c r="K19" s="21">
        <f t="shared" si="3"/>
        <v>0.3225991010107922</v>
      </c>
      <c r="L19" s="2">
        <v>16</v>
      </c>
      <c r="M19" s="20">
        <f t="shared" si="4"/>
        <v>2.4691358024691357E-2</v>
      </c>
      <c r="N19" s="6">
        <v>59946.259999999995</v>
      </c>
      <c r="O19" s="7">
        <v>70619.800000000017</v>
      </c>
      <c r="P19" s="21">
        <f t="shared" si="5"/>
        <v>1.1416838541740706E-2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58</v>
      </c>
      <c r="C20" s="66">
        <f t="shared" si="0"/>
        <v>0.93548387096774188</v>
      </c>
      <c r="D20" s="69">
        <v>1549850.9299999997</v>
      </c>
      <c r="E20" s="70">
        <v>1875319.6300000006</v>
      </c>
      <c r="F20" s="21">
        <f t="shared" si="1"/>
        <v>0.79703386905847717</v>
      </c>
      <c r="G20" s="68">
        <v>576</v>
      </c>
      <c r="H20" s="66">
        <f t="shared" si="2"/>
        <v>0.44444444444444442</v>
      </c>
      <c r="I20" s="69">
        <v>4098166.7500000009</v>
      </c>
      <c r="J20" s="70">
        <v>4889249.57</v>
      </c>
      <c r="K20" s="21">
        <f t="shared" si="3"/>
        <v>0.12029489079698481</v>
      </c>
      <c r="L20" s="68">
        <v>119</v>
      </c>
      <c r="M20" s="66">
        <f t="shared" si="4"/>
        <v>0.18364197530864199</v>
      </c>
      <c r="N20" s="69">
        <v>733436.24999999965</v>
      </c>
      <c r="O20" s="70">
        <v>885233.85000000021</v>
      </c>
      <c r="P20" s="67">
        <f t="shared" si="5"/>
        <v>0.14311244066300827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7</v>
      </c>
      <c r="W20" s="66">
        <f t="shared" si="8"/>
        <v>0.33333333333333331</v>
      </c>
      <c r="X20" s="69">
        <v>101193.49</v>
      </c>
      <c r="Y20" s="70">
        <v>107547.06</v>
      </c>
      <c r="Z20" s="67">
        <f t="shared" si="9"/>
        <v>0.76933266739469719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516</v>
      </c>
      <c r="H21" s="20">
        <f t="shared" si="2"/>
        <v>0.39814814814814814</v>
      </c>
      <c r="I21" s="6">
        <v>341442.58</v>
      </c>
      <c r="J21" s="7">
        <v>393131.39999999973</v>
      </c>
      <c r="K21" s="21">
        <f t="shared" si="3"/>
        <v>9.6725884319841995E-3</v>
      </c>
      <c r="L21" s="2">
        <v>476</v>
      </c>
      <c r="M21" s="20">
        <f t="shared" si="4"/>
        <v>0.73456790123456794</v>
      </c>
      <c r="N21" s="6">
        <v>186783.56999999998</v>
      </c>
      <c r="O21" s="7">
        <v>224312.50999999998</v>
      </c>
      <c r="P21" s="21">
        <f t="shared" si="5"/>
        <v>3.6263763272660031E-2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11</v>
      </c>
      <c r="W21" s="20">
        <f t="shared" si="8"/>
        <v>0.52380952380952384</v>
      </c>
      <c r="X21" s="6">
        <v>9475.7000000000007</v>
      </c>
      <c r="Y21" s="7">
        <v>10474.299999999999</v>
      </c>
      <c r="Z21" s="21">
        <f t="shared" si="9"/>
        <v>7.4927396044971173E-2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23</v>
      </c>
      <c r="H23" s="20">
        <f t="shared" si="13"/>
        <v>1.7746913580246913E-2</v>
      </c>
      <c r="I23" s="6">
        <v>115160</v>
      </c>
      <c r="J23" s="7">
        <v>115160</v>
      </c>
      <c r="K23" s="21">
        <f t="shared" si="14"/>
        <v>2.8333917968071266E-3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62</v>
      </c>
      <c r="C25" s="17">
        <f t="shared" si="32"/>
        <v>1</v>
      </c>
      <c r="D25" s="18">
        <f t="shared" si="32"/>
        <v>1944523.3099999996</v>
      </c>
      <c r="E25" s="18">
        <f t="shared" si="32"/>
        <v>2352873.2000000007</v>
      </c>
      <c r="F25" s="19">
        <f t="shared" si="32"/>
        <v>1</v>
      </c>
      <c r="G25" s="16">
        <f t="shared" si="32"/>
        <v>1296</v>
      </c>
      <c r="H25" s="17">
        <f t="shared" si="32"/>
        <v>1</v>
      </c>
      <c r="I25" s="18">
        <f t="shared" si="32"/>
        <v>33969231.130000003</v>
      </c>
      <c r="J25" s="18">
        <f t="shared" si="32"/>
        <v>40643867.230000004</v>
      </c>
      <c r="K25" s="19">
        <f t="shared" si="32"/>
        <v>0.99999999999999989</v>
      </c>
      <c r="L25" s="16">
        <f t="shared" si="32"/>
        <v>648</v>
      </c>
      <c r="M25" s="17">
        <f t="shared" si="32"/>
        <v>1</v>
      </c>
      <c r="N25" s="18">
        <f t="shared" si="32"/>
        <v>5125448.4400000004</v>
      </c>
      <c r="O25" s="18">
        <f t="shared" si="32"/>
        <v>6185582.790000001</v>
      </c>
      <c r="P25" s="19">
        <f t="shared" si="32"/>
        <v>0.99999999999999989</v>
      </c>
      <c r="Q25" s="16">
        <f t="shared" si="32"/>
        <v>3</v>
      </c>
      <c r="R25" s="17">
        <f t="shared" si="32"/>
        <v>1</v>
      </c>
      <c r="S25" s="18">
        <f t="shared" si="32"/>
        <v>339377.84</v>
      </c>
      <c r="T25" s="18">
        <f t="shared" si="32"/>
        <v>339377.84</v>
      </c>
      <c r="U25" s="19">
        <f t="shared" si="32"/>
        <v>1</v>
      </c>
      <c r="V25" s="16">
        <f t="shared" si="32"/>
        <v>21</v>
      </c>
      <c r="W25" s="17">
        <f t="shared" si="32"/>
        <v>1</v>
      </c>
      <c r="X25" s="18">
        <f t="shared" si="32"/>
        <v>130572.55</v>
      </c>
      <c r="Y25" s="18">
        <f t="shared" si="32"/>
        <v>139792.66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52</v>
      </c>
      <c r="C34" s="8">
        <f t="shared" ref="C34:C45" si="34">IF(B34,B34/$B$46,"")</f>
        <v>2.561576354679803E-2</v>
      </c>
      <c r="D34" s="10">
        <f t="shared" ref="D34:D45" si="35">D13+I13+N13+S13+AC13+X13</f>
        <v>19462815.82</v>
      </c>
      <c r="E34" s="11">
        <f t="shared" ref="E34:E45" si="36">E13+J13+O13+T13+AD13+Y13</f>
        <v>23254867.710000001</v>
      </c>
      <c r="F34" s="21">
        <f t="shared" ref="F34:F42" si="37">IF(E34,E34/$E$46,"")</f>
        <v>0.46826758456189266</v>
      </c>
      <c r="J34" s="150" t="s">
        <v>3</v>
      </c>
      <c r="K34" s="151"/>
      <c r="L34" s="57">
        <f>B25</f>
        <v>62</v>
      </c>
      <c r="M34" s="8">
        <f t="shared" ref="M34:M39" si="38">IF(L34,L34/$L$40,"")</f>
        <v>3.0541871921182268E-2</v>
      </c>
      <c r="N34" s="58">
        <f>D25</f>
        <v>1944523.3099999996</v>
      </c>
      <c r="O34" s="58">
        <f>E25</f>
        <v>2352873.2000000007</v>
      </c>
      <c r="P34" s="59">
        <f t="shared" ref="P34:P39" si="39">IF(O34,O34/$O$40,"")</f>
        <v>4.7378220503513285E-2</v>
      </c>
    </row>
    <row r="35" spans="1:33" s="25" customFormat="1" ht="30" customHeight="1" x14ac:dyDescent="0.3">
      <c r="A35" s="43" t="s">
        <v>18</v>
      </c>
      <c r="B35" s="12">
        <f t="shared" si="33"/>
        <v>32</v>
      </c>
      <c r="C35" s="8">
        <f t="shared" si="34"/>
        <v>1.5763546798029555E-2</v>
      </c>
      <c r="D35" s="13">
        <f t="shared" si="35"/>
        <v>1686993.3299999998</v>
      </c>
      <c r="E35" s="14">
        <f t="shared" si="36"/>
        <v>2040761.95</v>
      </c>
      <c r="F35" s="21">
        <f t="shared" si="37"/>
        <v>4.1093446796146835E-2</v>
      </c>
      <c r="J35" s="146" t="s">
        <v>1</v>
      </c>
      <c r="K35" s="147"/>
      <c r="L35" s="60">
        <f>G25</f>
        <v>1296</v>
      </c>
      <c r="M35" s="8">
        <f t="shared" si="38"/>
        <v>0.63842364532019702</v>
      </c>
      <c r="N35" s="61">
        <f>I25</f>
        <v>33969231.130000003</v>
      </c>
      <c r="O35" s="61">
        <f>J25</f>
        <v>40643867.230000004</v>
      </c>
      <c r="P35" s="59">
        <f t="shared" si="39"/>
        <v>0.81841813818885667</v>
      </c>
    </row>
    <row r="36" spans="1:33" ht="30" customHeight="1" x14ac:dyDescent="0.3">
      <c r="A36" s="43" t="s">
        <v>19</v>
      </c>
      <c r="B36" s="12">
        <f t="shared" si="33"/>
        <v>44</v>
      </c>
      <c r="C36" s="8">
        <f t="shared" si="34"/>
        <v>2.167487684729064E-2</v>
      </c>
      <c r="D36" s="13">
        <f t="shared" si="35"/>
        <v>976931.5199999999</v>
      </c>
      <c r="E36" s="14">
        <f t="shared" si="36"/>
        <v>1162820.83</v>
      </c>
      <c r="F36" s="21">
        <f t="shared" si="37"/>
        <v>2.3414938675751135E-2</v>
      </c>
      <c r="G36" s="25"/>
      <c r="J36" s="146" t="s">
        <v>2</v>
      </c>
      <c r="K36" s="147"/>
      <c r="L36" s="60">
        <f>L25</f>
        <v>648</v>
      </c>
      <c r="M36" s="8">
        <f t="shared" si="38"/>
        <v>0.31921182266009851</v>
      </c>
      <c r="N36" s="61">
        <f>N25</f>
        <v>5125448.4400000004</v>
      </c>
      <c r="O36" s="61">
        <f>O25</f>
        <v>6185582.790000001</v>
      </c>
      <c r="P36" s="59">
        <f t="shared" si="39"/>
        <v>0.12455490817242378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3</v>
      </c>
      <c r="C37" s="8">
        <f t="shared" si="34"/>
        <v>1.477832512315271E-3</v>
      </c>
      <c r="D37" s="13">
        <f t="shared" si="35"/>
        <v>339377.84</v>
      </c>
      <c r="E37" s="14">
        <f t="shared" si="36"/>
        <v>339377.84</v>
      </c>
      <c r="F37" s="21">
        <f t="shared" si="37"/>
        <v>6.8338226375845718E-3</v>
      </c>
      <c r="G37" s="25"/>
      <c r="J37" s="146" t="s">
        <v>34</v>
      </c>
      <c r="K37" s="147"/>
      <c r="L37" s="60">
        <f>Q25</f>
        <v>3</v>
      </c>
      <c r="M37" s="8">
        <f t="shared" si="38"/>
        <v>1.477832512315271E-3</v>
      </c>
      <c r="N37" s="61">
        <f>S25</f>
        <v>339377.84</v>
      </c>
      <c r="O37" s="61">
        <f>T25</f>
        <v>339377.84</v>
      </c>
      <c r="P37" s="59">
        <f t="shared" si="39"/>
        <v>6.8338226375845709E-3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21</v>
      </c>
      <c r="M38" s="8">
        <f t="shared" si="38"/>
        <v>1.0344827586206896E-2</v>
      </c>
      <c r="N38" s="61">
        <f>X25</f>
        <v>130572.55</v>
      </c>
      <c r="O38" s="61">
        <f>Y25</f>
        <v>139792.66</v>
      </c>
      <c r="P38" s="59">
        <f t="shared" si="39"/>
        <v>2.8149104976216569E-3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8</v>
      </c>
      <c r="C39" s="8">
        <f t="shared" si="34"/>
        <v>3.9408866995073889E-3</v>
      </c>
      <c r="D39" s="13">
        <f t="shared" si="35"/>
        <v>985524.99</v>
      </c>
      <c r="E39" s="22">
        <f t="shared" si="36"/>
        <v>1180942.24</v>
      </c>
      <c r="F39" s="21">
        <f t="shared" si="37"/>
        <v>2.3779837285168151E-2</v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105</v>
      </c>
      <c r="C40" s="8">
        <f t="shared" si="34"/>
        <v>5.1724137931034482E-2</v>
      </c>
      <c r="D40" s="13">
        <f t="shared" si="35"/>
        <v>10922000.500000002</v>
      </c>
      <c r="E40" s="23">
        <f t="shared" si="36"/>
        <v>13182294.83</v>
      </c>
      <c r="F40" s="21">
        <f t="shared" si="37"/>
        <v>0.26544297890683743</v>
      </c>
      <c r="G40" s="25"/>
      <c r="J40" s="148" t="s">
        <v>0</v>
      </c>
      <c r="K40" s="149"/>
      <c r="L40" s="83">
        <f>SUM(L34:L39)</f>
        <v>2030</v>
      </c>
      <c r="M40" s="17">
        <f>SUM(M34:M39)</f>
        <v>1</v>
      </c>
      <c r="N40" s="84">
        <f>SUM(N34:N39)</f>
        <v>41509153.270000003</v>
      </c>
      <c r="O40" s="85">
        <f>SUM(O34:O39)</f>
        <v>49661493.720000006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760</v>
      </c>
      <c r="C41" s="8">
        <f t="shared" si="34"/>
        <v>0.37438423645320196</v>
      </c>
      <c r="D41" s="13">
        <f t="shared" si="35"/>
        <v>6482647.4200000009</v>
      </c>
      <c r="E41" s="23">
        <f t="shared" si="36"/>
        <v>7757350.1100000013</v>
      </c>
      <c r="F41" s="21">
        <f t="shared" si="37"/>
        <v>0.15620452646344607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1003</v>
      </c>
      <c r="C42" s="8">
        <f t="shared" si="34"/>
        <v>0.49408866995073891</v>
      </c>
      <c r="D42" s="13">
        <f t="shared" si="35"/>
        <v>537701.85</v>
      </c>
      <c r="E42" s="14">
        <f t="shared" si="36"/>
        <v>627918.20999999973</v>
      </c>
      <c r="F42" s="21">
        <f t="shared" si="37"/>
        <v>1.2643965434070712E-2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23</v>
      </c>
      <c r="C44" s="8">
        <f t="shared" si="34"/>
        <v>1.1330049261083743E-2</v>
      </c>
      <c r="D44" s="13">
        <f t="shared" si="35"/>
        <v>115160</v>
      </c>
      <c r="E44" s="14">
        <f t="shared" si="36"/>
        <v>115160</v>
      </c>
      <c r="F44" s="21">
        <f>IF(E44,E44/$E$46,"")</f>
        <v>2.318899239102468E-3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2030</v>
      </c>
      <c r="C46" s="17">
        <f>SUM(C34:C45)</f>
        <v>1</v>
      </c>
      <c r="D46" s="18">
        <f>SUM(D34:D45)</f>
        <v>41509153.270000003</v>
      </c>
      <c r="E46" s="18">
        <f>SUM(E34:E45)</f>
        <v>49661493.719999999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rintOptions horizontalCentered="1"/>
  <pageMargins left="0.19685039370078741" right="0.19685039370078741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 G13:J19 L15:O15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5" zoomScaleNormal="85" workbookViewId="0">
      <selection activeCell="A8" sqref="A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102" t="s">
        <v>62</v>
      </c>
      <c r="J7" s="91">
        <v>44972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3" si="0">IF(B13,B13/$B$25,"")</f>
        <v>9.8039215686274508E-3</v>
      </c>
      <c r="D13" s="4">
        <v>76000</v>
      </c>
      <c r="E13" s="5">
        <v>91960</v>
      </c>
      <c r="F13" s="21">
        <f t="shared" ref="F13:F24" si="1">IF(E13,E13/$E$25,"")</f>
        <v>1.4747066591803228E-2</v>
      </c>
      <c r="G13" s="1">
        <f>44+3</f>
        <v>47</v>
      </c>
      <c r="H13" s="20">
        <f t="shared" ref="H13:H23" si="2">IF(G13,G13/$G$25,"")</f>
        <v>4.7047047047047048E-2</v>
      </c>
      <c r="I13" s="4">
        <f>11699468.33+894765.98</f>
        <v>12594234.310000001</v>
      </c>
      <c r="J13" s="5">
        <f>13036187.7+1062296.58</f>
        <v>14098484.279999999</v>
      </c>
      <c r="K13" s="21">
        <f t="shared" ref="K13:K23" si="3">IF(J13,J13/$J$25,"")</f>
        <v>0.66226332395320142</v>
      </c>
      <c r="L13" s="1">
        <f>1+2</f>
        <v>3</v>
      </c>
      <c r="M13" s="20">
        <f t="shared" ref="M13:M23" si="4">IF(L13,L13/$L$25,"")</f>
        <v>6.1099796334012219E-3</v>
      </c>
      <c r="N13" s="4">
        <f>79340.8+333290</f>
        <v>412630.8</v>
      </c>
      <c r="O13" s="5">
        <f>96002.37+403280.9</f>
        <v>499283.27</v>
      </c>
      <c r="P13" s="21">
        <f t="shared" ref="P13:P23" si="5">IF(O13,O13/$O$25,"")</f>
        <v>8.3443141423977546E-2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>
        <f>14+2</f>
        <v>16</v>
      </c>
      <c r="C14" s="20">
        <f t="shared" si="0"/>
        <v>0.15686274509803921</v>
      </c>
      <c r="D14" s="6">
        <f>2396298.86+196303.56</f>
        <v>2592602.42</v>
      </c>
      <c r="E14" s="7">
        <f>2899521.63+237527.3</f>
        <v>3137048.9299999997</v>
      </c>
      <c r="F14" s="21">
        <f t="shared" si="1"/>
        <v>0.50306948099668392</v>
      </c>
      <c r="G14" s="2">
        <v>22</v>
      </c>
      <c r="H14" s="20">
        <f t="shared" si="2"/>
        <v>2.2022022022022022E-2</v>
      </c>
      <c r="I14" s="6">
        <v>599174.18999999994</v>
      </c>
      <c r="J14" s="7">
        <v>716662.09</v>
      </c>
      <c r="K14" s="21">
        <f t="shared" si="3"/>
        <v>3.3664542120172398E-2</v>
      </c>
      <c r="L14" s="2">
        <f>4+5</f>
        <v>9</v>
      </c>
      <c r="M14" s="20">
        <f t="shared" si="4"/>
        <v>1.8329938900203666E-2</v>
      </c>
      <c r="N14" s="6">
        <f>165902.77+341093.57</f>
        <v>506996.33999999997</v>
      </c>
      <c r="O14" s="7">
        <f>200742.36+412723.21</f>
        <v>613465.57000000007</v>
      </c>
      <c r="P14" s="21">
        <f t="shared" si="5"/>
        <v>0.10252595548865677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3</v>
      </c>
      <c r="C15" s="20">
        <f t="shared" si="0"/>
        <v>2.9411764705882353E-2</v>
      </c>
      <c r="D15" s="6">
        <v>193754.16</v>
      </c>
      <c r="E15" s="7">
        <v>234442.53</v>
      </c>
      <c r="F15" s="21">
        <f t="shared" si="1"/>
        <v>3.759612442214904E-2</v>
      </c>
      <c r="G15" s="2">
        <f>10+8</f>
        <v>18</v>
      </c>
      <c r="H15" s="20">
        <f t="shared" si="2"/>
        <v>1.8018018018018018E-2</v>
      </c>
      <c r="I15" s="6">
        <f>251101.69+155102.84</f>
        <v>406204.53</v>
      </c>
      <c r="J15" s="7">
        <f>303833.04+186734.48</f>
        <v>490567.52</v>
      </c>
      <c r="K15" s="21">
        <f t="shared" si="3"/>
        <v>2.3043957773500365E-2</v>
      </c>
      <c r="L15" s="2">
        <f>8+7</f>
        <v>15</v>
      </c>
      <c r="M15" s="20">
        <f t="shared" si="4"/>
        <v>3.0549898167006109E-2</v>
      </c>
      <c r="N15" s="6">
        <f>214587.29+121820.88</f>
        <v>336408.17000000004</v>
      </c>
      <c r="O15" s="7">
        <f>259650.63+147403.27</f>
        <v>407053.9</v>
      </c>
      <c r="P15" s="21">
        <f t="shared" si="5"/>
        <v>6.8029229469037916E-2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2</v>
      </c>
      <c r="R16" s="20">
        <f t="shared" si="6"/>
        <v>1</v>
      </c>
      <c r="S16" s="6">
        <v>24000</v>
      </c>
      <c r="T16" s="7">
        <v>24000</v>
      </c>
      <c r="U16" s="21">
        <f t="shared" si="7"/>
        <v>1</v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6</v>
      </c>
      <c r="H18" s="66">
        <f t="shared" si="2"/>
        <v>6.006006006006006E-3</v>
      </c>
      <c r="I18" s="69">
        <v>341185.95</v>
      </c>
      <c r="J18" s="70">
        <v>412835</v>
      </c>
      <c r="K18" s="67">
        <f t="shared" si="3"/>
        <v>1.9392544185198039E-2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</v>
      </c>
      <c r="W18" s="66">
        <f t="shared" si="8"/>
        <v>4.3478260869565216E-2</v>
      </c>
      <c r="X18" s="69">
        <v>30040</v>
      </c>
      <c r="Y18" s="70">
        <v>36348.400000000001</v>
      </c>
      <c r="Z18" s="67">
        <f t="shared" si="9"/>
        <v>1.0855639087194871E-2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25</v>
      </c>
      <c r="H19" s="20">
        <f t="shared" si="2"/>
        <v>2.5025025025025027E-2</v>
      </c>
      <c r="I19" s="6">
        <v>1495104.2699999996</v>
      </c>
      <c r="J19" s="7">
        <v>1809076.1600000001</v>
      </c>
      <c r="K19" s="21">
        <f t="shared" si="3"/>
        <v>8.4979687689242425E-2</v>
      </c>
      <c r="L19" s="2">
        <v>15</v>
      </c>
      <c r="M19" s="20">
        <f t="shared" si="4"/>
        <v>3.0549898167006109E-2</v>
      </c>
      <c r="N19" s="6">
        <v>3160588.2600000002</v>
      </c>
      <c r="O19" s="7">
        <v>3824311.8100000005</v>
      </c>
      <c r="P19" s="21">
        <f t="shared" si="5"/>
        <v>0.63914136600494864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>
        <v>6</v>
      </c>
      <c r="W19" s="20">
        <f t="shared" si="8"/>
        <v>0.2608695652173913</v>
      </c>
      <c r="X19" s="6">
        <v>2749000</v>
      </c>
      <c r="Y19" s="7">
        <v>3248800</v>
      </c>
      <c r="Z19" s="21">
        <f t="shared" si="9"/>
        <v>0.97027105089849064</v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82</v>
      </c>
      <c r="C20" s="66">
        <f t="shared" si="0"/>
        <v>0.80392156862745101</v>
      </c>
      <c r="D20" s="69">
        <v>2291210.709999999</v>
      </c>
      <c r="E20" s="70">
        <v>2772364.9600000009</v>
      </c>
      <c r="F20" s="21">
        <f t="shared" si="1"/>
        <v>0.4445873279893639</v>
      </c>
      <c r="G20" s="68">
        <v>381</v>
      </c>
      <c r="H20" s="66">
        <f t="shared" si="2"/>
        <v>0.38138138138138139</v>
      </c>
      <c r="I20" s="69">
        <v>2778803.9799999995</v>
      </c>
      <c r="J20" s="70">
        <v>3305241.5800000015</v>
      </c>
      <c r="K20" s="67">
        <f t="shared" si="3"/>
        <v>0.15526068134461421</v>
      </c>
      <c r="L20" s="68">
        <v>65</v>
      </c>
      <c r="M20" s="66">
        <f t="shared" si="4"/>
        <v>0.13238289205702647</v>
      </c>
      <c r="N20" s="69">
        <v>378407.75</v>
      </c>
      <c r="O20" s="70">
        <v>454851.7900000001</v>
      </c>
      <c r="P20" s="67">
        <f t="shared" si="5"/>
        <v>7.6017492514658752E-2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10</v>
      </c>
      <c r="W20" s="66">
        <f t="shared" si="8"/>
        <v>0.43478260869565216</v>
      </c>
      <c r="X20" s="69">
        <v>50351.5</v>
      </c>
      <c r="Y20" s="70">
        <v>58825.32</v>
      </c>
      <c r="Z20" s="67">
        <f t="shared" si="9"/>
        <v>1.7568488382122629E-2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492</v>
      </c>
      <c r="H21" s="20">
        <f t="shared" si="2"/>
        <v>0.4924924924924925</v>
      </c>
      <c r="I21" s="6">
        <v>379589.67999999982</v>
      </c>
      <c r="J21" s="7">
        <v>448219.54999999993</v>
      </c>
      <c r="K21" s="21">
        <f t="shared" si="3"/>
        <v>2.1054700856382284E-2</v>
      </c>
      <c r="L21" s="2">
        <v>384</v>
      </c>
      <c r="M21" s="20">
        <f t="shared" si="4"/>
        <v>0.7820773930753564</v>
      </c>
      <c r="N21" s="6">
        <v>153767</v>
      </c>
      <c r="O21" s="7">
        <v>184548.44000000009</v>
      </c>
      <c r="P21" s="21">
        <f t="shared" si="5"/>
        <v>3.0842815098720295E-2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6</v>
      </c>
      <c r="W21" s="20">
        <f t="shared" si="8"/>
        <v>0.2608695652173913</v>
      </c>
      <c r="X21" s="6">
        <v>4200.95</v>
      </c>
      <c r="Y21" s="7">
        <v>4368.99</v>
      </c>
      <c r="Z21" s="21">
        <f t="shared" si="9"/>
        <v>1.3048216321918851E-3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8</v>
      </c>
      <c r="H23" s="20">
        <f t="shared" si="2"/>
        <v>8.0080080080080079E-3</v>
      </c>
      <c r="I23" s="6">
        <v>7250</v>
      </c>
      <c r="J23" s="7">
        <v>7250</v>
      </c>
      <c r="K23" s="21">
        <f t="shared" si="3"/>
        <v>3.4056207768887273E-4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102</v>
      </c>
      <c r="C25" s="17">
        <f t="shared" si="22"/>
        <v>1</v>
      </c>
      <c r="D25" s="18">
        <f t="shared" si="22"/>
        <v>5153567.2899999991</v>
      </c>
      <c r="E25" s="18">
        <f t="shared" si="22"/>
        <v>6235816.4199999999</v>
      </c>
      <c r="F25" s="19">
        <f t="shared" si="22"/>
        <v>1</v>
      </c>
      <c r="G25" s="16">
        <f t="shared" si="22"/>
        <v>999</v>
      </c>
      <c r="H25" s="17">
        <f t="shared" si="22"/>
        <v>1</v>
      </c>
      <c r="I25" s="18">
        <f t="shared" si="22"/>
        <v>18601546.909999996</v>
      </c>
      <c r="J25" s="18">
        <f t="shared" si="22"/>
        <v>21288336.18</v>
      </c>
      <c r="K25" s="19">
        <f t="shared" si="22"/>
        <v>1.0000000000000002</v>
      </c>
      <c r="L25" s="16">
        <f t="shared" si="22"/>
        <v>491</v>
      </c>
      <c r="M25" s="17">
        <f t="shared" si="22"/>
        <v>1</v>
      </c>
      <c r="N25" s="18">
        <f t="shared" si="22"/>
        <v>4948798.32</v>
      </c>
      <c r="O25" s="18">
        <f t="shared" si="22"/>
        <v>5983514.7800000012</v>
      </c>
      <c r="P25" s="19">
        <f t="shared" si="22"/>
        <v>0.99999999999999989</v>
      </c>
      <c r="Q25" s="16">
        <f t="shared" si="22"/>
        <v>2</v>
      </c>
      <c r="R25" s="17">
        <f t="shared" si="22"/>
        <v>1</v>
      </c>
      <c r="S25" s="18">
        <f t="shared" si="22"/>
        <v>24000</v>
      </c>
      <c r="T25" s="18">
        <f t="shared" si="22"/>
        <v>24000</v>
      </c>
      <c r="U25" s="19">
        <f t="shared" si="22"/>
        <v>1</v>
      </c>
      <c r="V25" s="16">
        <f t="shared" si="22"/>
        <v>23</v>
      </c>
      <c r="W25" s="17">
        <f t="shared" si="22"/>
        <v>1</v>
      </c>
      <c r="X25" s="18">
        <f t="shared" si="22"/>
        <v>2833592.45</v>
      </c>
      <c r="Y25" s="18">
        <f t="shared" si="22"/>
        <v>3348342.71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51</v>
      </c>
      <c r="C34" s="8">
        <f t="shared" ref="C34:C42" si="24">IF(B34,B34/$B$46,"")</f>
        <v>3.1539888682745827E-2</v>
      </c>
      <c r="D34" s="10">
        <f t="shared" ref="D34:D45" si="25">D13+I13+N13+S13+AC13+X13</f>
        <v>13082865.110000001</v>
      </c>
      <c r="E34" s="11">
        <f t="shared" ref="E34:E45" si="26">E13+J13+O13+T13+AD13+Y13</f>
        <v>14689727.549999999</v>
      </c>
      <c r="F34" s="21">
        <f t="shared" ref="F34:F43" si="27">IF(E34,E34/$E$46,"")</f>
        <v>0.3983113755704506</v>
      </c>
      <c r="J34" s="150" t="s">
        <v>3</v>
      </c>
      <c r="K34" s="151"/>
      <c r="L34" s="57">
        <f>B25</f>
        <v>102</v>
      </c>
      <c r="M34" s="8">
        <f>IF(L34,L34/$L$40,"")</f>
        <v>6.3079777365491654E-2</v>
      </c>
      <c r="N34" s="58">
        <f>D25</f>
        <v>5153567.2899999991</v>
      </c>
      <c r="O34" s="58">
        <f>E25</f>
        <v>6235816.4199999999</v>
      </c>
      <c r="P34" s="59">
        <f>IF(O34,O34/$O$40,"")</f>
        <v>0.16908391306787734</v>
      </c>
    </row>
    <row r="35" spans="1:33" s="25" customFormat="1" ht="30" customHeight="1" x14ac:dyDescent="0.3">
      <c r="A35" s="43" t="s">
        <v>18</v>
      </c>
      <c r="B35" s="12">
        <f t="shared" si="23"/>
        <v>47</v>
      </c>
      <c r="C35" s="8">
        <f t="shared" si="24"/>
        <v>2.9066171923314781E-2</v>
      </c>
      <c r="D35" s="13">
        <f t="shared" si="25"/>
        <v>3698772.9499999997</v>
      </c>
      <c r="E35" s="14">
        <f t="shared" si="26"/>
        <v>4467176.59</v>
      </c>
      <c r="F35" s="21">
        <f t="shared" si="27"/>
        <v>0.12112731474580786</v>
      </c>
      <c r="J35" s="146" t="s">
        <v>1</v>
      </c>
      <c r="K35" s="147"/>
      <c r="L35" s="60">
        <f>G25</f>
        <v>999</v>
      </c>
      <c r="M35" s="8">
        <f>IF(L35,L35/$L$40,"")</f>
        <v>0.61781076066790352</v>
      </c>
      <c r="N35" s="61">
        <f>I25</f>
        <v>18601546.909999996</v>
      </c>
      <c r="O35" s="61">
        <f>J25</f>
        <v>21288336.18</v>
      </c>
      <c r="P35" s="59">
        <f>IF(O35,O35/$O$40,"")</f>
        <v>0.57723238491662776</v>
      </c>
    </row>
    <row r="36" spans="1:33" ht="30" customHeight="1" x14ac:dyDescent="0.3">
      <c r="A36" s="43" t="s">
        <v>19</v>
      </c>
      <c r="B36" s="12">
        <f t="shared" si="23"/>
        <v>36</v>
      </c>
      <c r="C36" s="8">
        <f t="shared" si="24"/>
        <v>2.2263450834879406E-2</v>
      </c>
      <c r="D36" s="13">
        <f t="shared" si="25"/>
        <v>936366.8600000001</v>
      </c>
      <c r="E36" s="14">
        <f t="shared" si="26"/>
        <v>1132063.9500000002</v>
      </c>
      <c r="F36" s="21">
        <f t="shared" si="27"/>
        <v>3.0695868771113997E-2</v>
      </c>
      <c r="G36" s="25"/>
      <c r="J36" s="146" t="s">
        <v>2</v>
      </c>
      <c r="K36" s="147"/>
      <c r="L36" s="60">
        <f>L25</f>
        <v>491</v>
      </c>
      <c r="M36" s="8">
        <f>IF(L36,L36/$L$40,"")</f>
        <v>0.30364873222016081</v>
      </c>
      <c r="N36" s="61">
        <f>N25</f>
        <v>4948798.32</v>
      </c>
      <c r="O36" s="61">
        <f>O25</f>
        <v>5983514.7800000012</v>
      </c>
      <c r="P36" s="59">
        <f>IF(O36,O36/$O$40,"")</f>
        <v>0.16224276418032837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2</v>
      </c>
      <c r="C37" s="8">
        <f t="shared" si="24"/>
        <v>1.2368583797155227E-3</v>
      </c>
      <c r="D37" s="13">
        <f t="shared" si="25"/>
        <v>24000</v>
      </c>
      <c r="E37" s="14">
        <f t="shared" si="26"/>
        <v>24000</v>
      </c>
      <c r="F37" s="21">
        <f t="shared" si="27"/>
        <v>6.5075904104775688E-4</v>
      </c>
      <c r="G37" s="25"/>
      <c r="J37" s="146" t="s">
        <v>34</v>
      </c>
      <c r="K37" s="147"/>
      <c r="L37" s="60">
        <f>Q25</f>
        <v>2</v>
      </c>
      <c r="M37" s="8">
        <f>IF(L37,L37/$L$40,"")</f>
        <v>1.2368583797155227E-3</v>
      </c>
      <c r="N37" s="61">
        <f>S25</f>
        <v>24000</v>
      </c>
      <c r="O37" s="61">
        <f>T25</f>
        <v>24000</v>
      </c>
      <c r="P37" s="59">
        <f>IF(O37,O37/$O$40,"")</f>
        <v>6.5075904104775688E-4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23</v>
      </c>
      <c r="M38" s="8">
        <f>IF(L38,L38/$L$40,"")</f>
        <v>1.4223871366728509E-2</v>
      </c>
      <c r="N38" s="61">
        <f>X25</f>
        <v>2833592.45</v>
      </c>
      <c r="O38" s="61">
        <f>Y25</f>
        <v>3348342.71</v>
      </c>
      <c r="P38" s="59">
        <f>IF(O38,O38/$O$40,"")</f>
        <v>9.0790178794118645E-2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7</v>
      </c>
      <c r="C39" s="8">
        <f t="shared" si="24"/>
        <v>4.329004329004329E-3</v>
      </c>
      <c r="D39" s="13">
        <f t="shared" si="25"/>
        <v>371225.95</v>
      </c>
      <c r="E39" s="22">
        <f t="shared" si="26"/>
        <v>449183.4</v>
      </c>
      <c r="F39" s="21">
        <f t="shared" si="27"/>
        <v>1.2179589943273792E-2</v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46</v>
      </c>
      <c r="C40" s="8">
        <f t="shared" si="24"/>
        <v>2.8447742733457019E-2</v>
      </c>
      <c r="D40" s="13">
        <f t="shared" si="25"/>
        <v>7404692.5299999993</v>
      </c>
      <c r="E40" s="23">
        <f t="shared" si="26"/>
        <v>8882187.9700000007</v>
      </c>
      <c r="F40" s="21">
        <f t="shared" si="27"/>
        <v>0.24084017190679677</v>
      </c>
      <c r="G40" s="25"/>
      <c r="J40" s="148" t="s">
        <v>0</v>
      </c>
      <c r="K40" s="149"/>
      <c r="L40" s="83">
        <f>SUM(L34:L39)</f>
        <v>1617</v>
      </c>
      <c r="M40" s="17">
        <f>SUM(M34:M39)</f>
        <v>1</v>
      </c>
      <c r="N40" s="84">
        <f>SUM(N34:N39)</f>
        <v>31561504.969999995</v>
      </c>
      <c r="O40" s="85">
        <f>SUM(O34:O39)</f>
        <v>36880010.090000004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538</v>
      </c>
      <c r="C41" s="8">
        <f t="shared" si="24"/>
        <v>0.3327149041434756</v>
      </c>
      <c r="D41" s="13">
        <f t="shared" si="25"/>
        <v>5498773.9399999985</v>
      </c>
      <c r="E41" s="23">
        <f t="shared" si="26"/>
        <v>6591283.6500000032</v>
      </c>
      <c r="F41" s="21">
        <f t="shared" si="27"/>
        <v>0.1787223928061567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882</v>
      </c>
      <c r="C42" s="8">
        <f t="shared" si="24"/>
        <v>0.54545454545454541</v>
      </c>
      <c r="D42" s="13">
        <f t="shared" si="25"/>
        <v>537557.62999999977</v>
      </c>
      <c r="E42" s="14">
        <f t="shared" si="26"/>
        <v>637136.98</v>
      </c>
      <c r="F42" s="21">
        <f t="shared" si="27"/>
        <v>1.7275943755035994E-2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8</v>
      </c>
      <c r="C44" s="8">
        <f t="shared" si="30"/>
        <v>4.9474335188620907E-3</v>
      </c>
      <c r="D44" s="13">
        <f t="shared" si="25"/>
        <v>7250</v>
      </c>
      <c r="E44" s="14">
        <f t="shared" si="26"/>
        <v>7250</v>
      </c>
      <c r="F44" s="21">
        <f t="shared" ref="F44" si="31">IF(E44,E44/$E$46,"")</f>
        <v>1.9658346031650988E-4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1617</v>
      </c>
      <c r="C46" s="17">
        <f>SUM(C34:C45)</f>
        <v>0.99999999999999989</v>
      </c>
      <c r="D46" s="18">
        <f>SUM(D34:D45)</f>
        <v>31561504.969999995</v>
      </c>
      <c r="E46" s="18">
        <f>SUM(E34:E45)</f>
        <v>36880010.090000004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rintOptions horizontalCentered="1"/>
  <pageMargins left="0.19685039370078741" right="0.19685039370078741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55" zoomScaleNormal="55" workbookViewId="0">
      <selection activeCell="A8" sqref="A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44988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1" si="0">IF(B13,B13/$B$25,"")</f>
        <v>6.2111801242236021E-3</v>
      </c>
      <c r="D13" s="4">
        <v>67454.05</v>
      </c>
      <c r="E13" s="5">
        <v>81619.399999999994</v>
      </c>
      <c r="F13" s="21">
        <f t="shared" ref="F13:F24" si="1">IF(E13,E13/$E$25,"")</f>
        <v>9.8872633276937509E-3</v>
      </c>
      <c r="G13" s="1">
        <v>71</v>
      </c>
      <c r="H13" s="20">
        <f t="shared" ref="H13:H21" si="2">IF(G13,G13/$G$25,"")</f>
        <v>3.2916087158089941E-2</v>
      </c>
      <c r="I13" s="4">
        <v>35473764.36999999</v>
      </c>
      <c r="J13" s="5">
        <v>40083446.779999986</v>
      </c>
      <c r="K13" s="21">
        <f t="shared" ref="K13:K21" si="3">IF(J13,J13/$J$25,"")</f>
        <v>0.67552581087974595</v>
      </c>
      <c r="L13" s="1">
        <v>11</v>
      </c>
      <c r="M13" s="20">
        <f>IF(L13,L13/$L$25,"")</f>
        <v>9.7777777777777776E-3</v>
      </c>
      <c r="N13" s="4">
        <v>5007197.4300000006</v>
      </c>
      <c r="O13" s="5">
        <v>6058708.879999999</v>
      </c>
      <c r="P13" s="21">
        <f>IF(O13,O13/$O$25,"")</f>
        <v>0.67678662196268979</v>
      </c>
      <c r="Q13" s="1">
        <v>1</v>
      </c>
      <c r="R13" s="20">
        <f t="shared" ref="R13:R21" si="4">IF(Q13,Q13/$Q$25,"")</f>
        <v>1</v>
      </c>
      <c r="S13" s="4">
        <v>168695.27</v>
      </c>
      <c r="T13" s="5">
        <v>168695.27</v>
      </c>
      <c r="U13" s="21">
        <f t="shared" ref="U13:U24" si="5">IF(T13,T13/$T$25,"")</f>
        <v>1</v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>
        <v>15</v>
      </c>
      <c r="C14" s="20">
        <f t="shared" si="0"/>
        <v>9.3167701863354033E-2</v>
      </c>
      <c r="D14" s="6">
        <v>2805097.26</v>
      </c>
      <c r="E14" s="7">
        <v>3394167.68</v>
      </c>
      <c r="F14" s="21">
        <f t="shared" si="1"/>
        <v>0.41116486558964394</v>
      </c>
      <c r="G14" s="2">
        <v>32</v>
      </c>
      <c r="H14" s="20">
        <f t="shared" si="2"/>
        <v>1.483541956420955E-2</v>
      </c>
      <c r="I14" s="6">
        <v>998911.44</v>
      </c>
      <c r="J14" s="7">
        <v>1208682.8400000001</v>
      </c>
      <c r="K14" s="21">
        <f t="shared" si="3"/>
        <v>2.0369916291600773E-2</v>
      </c>
      <c r="L14" s="2">
        <v>8</v>
      </c>
      <c r="M14" s="20">
        <f>IF(L14,L14/$L$25,"")</f>
        <v>7.1111111111111115E-3</v>
      </c>
      <c r="N14" s="6">
        <v>459193.87</v>
      </c>
      <c r="O14" s="7">
        <v>550153.64</v>
      </c>
      <c r="P14" s="21">
        <f>IF(O14,O14/$O$25,"")</f>
        <v>6.1454780374936548E-2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>
        <v>2</v>
      </c>
      <c r="C15" s="20">
        <f t="shared" si="0"/>
        <v>1.2422360248447204E-2</v>
      </c>
      <c r="D15" s="6">
        <v>111164.45000000001</v>
      </c>
      <c r="E15" s="7">
        <v>134508.97999999998</v>
      </c>
      <c r="F15" s="21">
        <f t="shared" si="1"/>
        <v>1.6294235257787882E-2</v>
      </c>
      <c r="G15" s="2">
        <v>22</v>
      </c>
      <c r="H15" s="20">
        <f t="shared" si="2"/>
        <v>1.0199350950394067E-2</v>
      </c>
      <c r="I15" s="6">
        <v>586140.39</v>
      </c>
      <c r="J15" s="7">
        <v>680468.66000000015</v>
      </c>
      <c r="K15" s="21">
        <f t="shared" si="3"/>
        <v>1.1467929538287935E-2</v>
      </c>
      <c r="L15" s="2">
        <v>16</v>
      </c>
      <c r="M15" s="20">
        <f>IF(L15,L15/$L$25,"")</f>
        <v>1.4222222222222223E-2</v>
      </c>
      <c r="N15" s="6">
        <v>329539.42</v>
      </c>
      <c r="O15" s="7">
        <v>398427.71</v>
      </c>
      <c r="P15" s="21">
        <f>IF(O15,O15/$O$25,"")</f>
        <v>4.4506271763173122E-2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9.2721372276309685E-4</v>
      </c>
      <c r="I18" s="69">
        <v>94004.459999999992</v>
      </c>
      <c r="J18" s="70">
        <v>113745.4</v>
      </c>
      <c r="K18" s="67">
        <f t="shared" si="3"/>
        <v>1.9169497571047227E-3</v>
      </c>
      <c r="L18" s="71">
        <v>1</v>
      </c>
      <c r="M18" s="66">
        <f>IF(L18,L18/$L$25,"")</f>
        <v>8.8888888888888893E-4</v>
      </c>
      <c r="N18" s="69">
        <v>15720</v>
      </c>
      <c r="O18" s="70">
        <v>19021.2</v>
      </c>
      <c r="P18" s="67">
        <f>IF(O18,O18/$O$25,"")</f>
        <v>2.1247585828346842E-3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2</v>
      </c>
      <c r="W18" s="66">
        <f t="shared" si="6"/>
        <v>4.0816326530612242E-2</v>
      </c>
      <c r="X18" s="69">
        <v>67655</v>
      </c>
      <c r="Y18" s="70">
        <v>74934.2</v>
      </c>
      <c r="Z18" s="67">
        <f t="shared" si="7"/>
        <v>0.25150208948495245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227</v>
      </c>
      <c r="H19" s="20">
        <f t="shared" si="2"/>
        <v>0.10523875753361149</v>
      </c>
      <c r="I19" s="6">
        <v>8729020.9900000021</v>
      </c>
      <c r="J19" s="7">
        <v>10368599.440000005</v>
      </c>
      <c r="K19" s="21">
        <f t="shared" si="3"/>
        <v>0.17474187244516415</v>
      </c>
      <c r="L19" s="2">
        <v>5</v>
      </c>
      <c r="M19" s="20">
        <f>IF(L19,L19/$L$25,"")</f>
        <v>4.4444444444444444E-3</v>
      </c>
      <c r="N19" s="6">
        <v>20481.599999999999</v>
      </c>
      <c r="O19" s="7">
        <v>24782.74</v>
      </c>
      <c r="P19" s="21">
        <f>IF(O19,O19/$O$25,"")</f>
        <v>2.7683500263474673E-3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143</v>
      </c>
      <c r="C20" s="66">
        <f t="shared" si="0"/>
        <v>0.88819875776397517</v>
      </c>
      <c r="D20" s="69">
        <v>3839206.2199999988</v>
      </c>
      <c r="E20" s="70">
        <v>4644708.1099999994</v>
      </c>
      <c r="F20" s="21">
        <f t="shared" si="1"/>
        <v>0.56265363582487438</v>
      </c>
      <c r="G20" s="68">
        <v>744</v>
      </c>
      <c r="H20" s="66">
        <f t="shared" si="2"/>
        <v>0.34492350486787204</v>
      </c>
      <c r="I20" s="69">
        <v>4988370.7199999979</v>
      </c>
      <c r="J20" s="70">
        <v>5946502.3400000008</v>
      </c>
      <c r="K20" s="67">
        <f t="shared" si="3"/>
        <v>0.10021632713310312</v>
      </c>
      <c r="L20" s="68">
        <v>174</v>
      </c>
      <c r="M20" s="66">
        <f>IF(L20,L20/$L$25,"")</f>
        <v>0.15466666666666667</v>
      </c>
      <c r="N20" s="69">
        <v>1134038.8</v>
      </c>
      <c r="O20" s="70">
        <v>1369921.8700000003</v>
      </c>
      <c r="P20" s="67">
        <f>IF(O20,O20/$O$25,"")</f>
        <v>0.15302679384557447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15</v>
      </c>
      <c r="W20" s="66">
        <f t="shared" si="6"/>
        <v>0.30612244897959184</v>
      </c>
      <c r="X20" s="69">
        <v>179149.77999999997</v>
      </c>
      <c r="Y20" s="70">
        <v>211104.56999999998</v>
      </c>
      <c r="Z20" s="67">
        <f t="shared" si="7"/>
        <v>0.70853149102575863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1046</v>
      </c>
      <c r="H21" s="20">
        <f t="shared" si="2"/>
        <v>0.48493277700509968</v>
      </c>
      <c r="I21" s="6">
        <v>788893.26999999979</v>
      </c>
      <c r="J21" s="7">
        <v>920571.63999999966</v>
      </c>
      <c r="K21" s="21">
        <f t="shared" si="3"/>
        <v>1.5514381959142926E-2</v>
      </c>
      <c r="L21" s="2">
        <v>910</v>
      </c>
      <c r="M21" s="20">
        <f>IF(L21,L21/$L$25,"")</f>
        <v>0.80888888888888888</v>
      </c>
      <c r="N21" s="6">
        <v>442871.66000000003</v>
      </c>
      <c r="O21" s="7">
        <v>531153.93999999925</v>
      </c>
      <c r="P21" s="21">
        <f>IF(O21,O21/$O$25,"")</f>
        <v>5.9332423444443949E-2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>
        <v>32</v>
      </c>
      <c r="W21" s="20">
        <f t="shared" si="6"/>
        <v>0.65306122448979587</v>
      </c>
      <c r="X21" s="6">
        <v>11456.34</v>
      </c>
      <c r="Y21" s="7">
        <v>11907.859999999999</v>
      </c>
      <c r="Z21" s="21">
        <f t="shared" si="7"/>
        <v>3.9966419489289078E-2</v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13</v>
      </c>
      <c r="H23" s="20">
        <f t="shared" si="11"/>
        <v>6.0268891979601297E-3</v>
      </c>
      <c r="I23" s="6">
        <v>14645</v>
      </c>
      <c r="J23" s="7">
        <v>14645</v>
      </c>
      <c r="K23" s="21">
        <f t="shared" si="12"/>
        <v>2.4681199585036993E-4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161</v>
      </c>
      <c r="C25" s="17">
        <f t="shared" si="30"/>
        <v>1</v>
      </c>
      <c r="D25" s="18">
        <f t="shared" si="30"/>
        <v>6822921.9799999986</v>
      </c>
      <c r="E25" s="18">
        <f t="shared" si="30"/>
        <v>8255004.1699999999</v>
      </c>
      <c r="F25" s="19">
        <f t="shared" si="30"/>
        <v>1</v>
      </c>
      <c r="G25" s="16">
        <f t="shared" si="30"/>
        <v>2157</v>
      </c>
      <c r="H25" s="17">
        <f t="shared" si="30"/>
        <v>1.0000000000000002</v>
      </c>
      <c r="I25" s="18">
        <f t="shared" si="30"/>
        <v>51673750.639999993</v>
      </c>
      <c r="J25" s="18">
        <f t="shared" si="30"/>
        <v>59336662.099999994</v>
      </c>
      <c r="K25" s="19">
        <f t="shared" si="30"/>
        <v>1</v>
      </c>
      <c r="L25" s="16">
        <f t="shared" si="30"/>
        <v>1125</v>
      </c>
      <c r="M25" s="17">
        <f t="shared" si="30"/>
        <v>1</v>
      </c>
      <c r="N25" s="18">
        <f t="shared" si="30"/>
        <v>7409042.7800000003</v>
      </c>
      <c r="O25" s="18">
        <f t="shared" si="30"/>
        <v>8952169.9799999986</v>
      </c>
      <c r="P25" s="19">
        <f t="shared" si="30"/>
        <v>1</v>
      </c>
      <c r="Q25" s="16">
        <f t="shared" si="30"/>
        <v>1</v>
      </c>
      <c r="R25" s="17">
        <f t="shared" si="30"/>
        <v>1</v>
      </c>
      <c r="S25" s="18">
        <f t="shared" si="30"/>
        <v>168695.27</v>
      </c>
      <c r="T25" s="18">
        <f t="shared" si="30"/>
        <v>168695.27</v>
      </c>
      <c r="U25" s="19">
        <f t="shared" si="30"/>
        <v>1</v>
      </c>
      <c r="V25" s="16">
        <f t="shared" si="30"/>
        <v>49</v>
      </c>
      <c r="W25" s="17">
        <f t="shared" si="30"/>
        <v>1</v>
      </c>
      <c r="X25" s="18">
        <f t="shared" si="30"/>
        <v>258261.11999999997</v>
      </c>
      <c r="Y25" s="18">
        <f t="shared" si="30"/>
        <v>297946.62999999995</v>
      </c>
      <c r="Z25" s="19">
        <f t="shared" si="30"/>
        <v>1.0000000000000002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84</v>
      </c>
      <c r="C34" s="8">
        <f t="shared" ref="C34:C45" si="32">IF(B34,B34/$B$46,"")</f>
        <v>2.4048096192384769E-2</v>
      </c>
      <c r="D34" s="10">
        <f t="shared" ref="D34:D42" si="33">D13+I13+N13+S13+AC13+X13</f>
        <v>40717111.11999999</v>
      </c>
      <c r="E34" s="11">
        <f t="shared" ref="E34:E42" si="34">E13+J13+O13+T13+AD13+Y13</f>
        <v>46392470.329999991</v>
      </c>
      <c r="F34" s="21">
        <f t="shared" ref="F34:F42" si="35">IF(E34,E34/$E$46,"")</f>
        <v>0.60241763776141399</v>
      </c>
      <c r="J34" s="150" t="s">
        <v>3</v>
      </c>
      <c r="K34" s="151"/>
      <c r="L34" s="57">
        <f>B25</f>
        <v>161</v>
      </c>
      <c r="M34" s="8">
        <f t="shared" ref="M34:M39" si="36">IF(L34,L34/$L$40,"")</f>
        <v>4.6092184368737472E-2</v>
      </c>
      <c r="N34" s="58">
        <f>D25</f>
        <v>6822921.9799999986</v>
      </c>
      <c r="O34" s="58">
        <f>E25</f>
        <v>8255004.1699999999</v>
      </c>
      <c r="P34" s="59">
        <f t="shared" ref="P34:P39" si="37">IF(O34,O34/$O$40,"")</f>
        <v>0.10719325951880226</v>
      </c>
    </row>
    <row r="35" spans="1:33" s="25" customFormat="1" ht="30" customHeight="1" x14ac:dyDescent="0.3">
      <c r="A35" s="43" t="s">
        <v>18</v>
      </c>
      <c r="B35" s="12">
        <f t="shared" si="31"/>
        <v>55</v>
      </c>
      <c r="C35" s="8">
        <f t="shared" si="32"/>
        <v>1.5745777268823362E-2</v>
      </c>
      <c r="D35" s="13">
        <f t="shared" si="33"/>
        <v>4263202.5699999994</v>
      </c>
      <c r="E35" s="14">
        <f t="shared" si="34"/>
        <v>5153004.16</v>
      </c>
      <c r="F35" s="21">
        <f t="shared" si="35"/>
        <v>6.6913026432105061E-2</v>
      </c>
      <c r="J35" s="146" t="s">
        <v>1</v>
      </c>
      <c r="K35" s="147"/>
      <c r="L35" s="60">
        <f>G25</f>
        <v>2157</v>
      </c>
      <c r="M35" s="8">
        <f t="shared" si="36"/>
        <v>0.61752075579730892</v>
      </c>
      <c r="N35" s="61">
        <f>I25</f>
        <v>51673750.639999993</v>
      </c>
      <c r="O35" s="61">
        <f>J25</f>
        <v>59336662.099999994</v>
      </c>
      <c r="P35" s="59">
        <f t="shared" si="37"/>
        <v>0.77050115160205634</v>
      </c>
    </row>
    <row r="36" spans="1:33" ht="30" customHeight="1" x14ac:dyDescent="0.3">
      <c r="A36" s="43" t="s">
        <v>19</v>
      </c>
      <c r="B36" s="12">
        <f t="shared" si="31"/>
        <v>40</v>
      </c>
      <c r="C36" s="8">
        <f t="shared" si="32"/>
        <v>1.1451474377326082E-2</v>
      </c>
      <c r="D36" s="13">
        <f t="shared" si="33"/>
        <v>1026844.26</v>
      </c>
      <c r="E36" s="14">
        <f t="shared" si="34"/>
        <v>1213405.3500000001</v>
      </c>
      <c r="F36" s="21">
        <f t="shared" si="35"/>
        <v>1.5756366914597583E-2</v>
      </c>
      <c r="G36" s="25"/>
      <c r="J36" s="146" t="s">
        <v>2</v>
      </c>
      <c r="K36" s="147"/>
      <c r="L36" s="60">
        <f>L25</f>
        <v>1125</v>
      </c>
      <c r="M36" s="8">
        <f t="shared" si="36"/>
        <v>0.32207271686229599</v>
      </c>
      <c r="N36" s="61">
        <f>N25</f>
        <v>7409042.7800000003</v>
      </c>
      <c r="O36" s="61">
        <f>O25</f>
        <v>8952169.9799999986</v>
      </c>
      <c r="P36" s="59">
        <f t="shared" si="37"/>
        <v>0.11624612903406573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1</v>
      </c>
      <c r="M37" s="8">
        <f t="shared" si="36"/>
        <v>2.8628685943315199E-4</v>
      </c>
      <c r="N37" s="61">
        <f>S25</f>
        <v>168695.27</v>
      </c>
      <c r="O37" s="61">
        <f>T25</f>
        <v>168695.27</v>
      </c>
      <c r="P37" s="59">
        <f t="shared" si="37"/>
        <v>2.1905495726363051E-3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49</v>
      </c>
      <c r="M38" s="8">
        <f t="shared" si="36"/>
        <v>1.4028056112224449E-2</v>
      </c>
      <c r="N38" s="61">
        <f>X25</f>
        <v>258261.11999999997</v>
      </c>
      <c r="O38" s="61">
        <f>Y25</f>
        <v>297946.62999999995</v>
      </c>
      <c r="P38" s="59">
        <f t="shared" si="37"/>
        <v>3.8689102724393351E-3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5</v>
      </c>
      <c r="C39" s="8">
        <f t="shared" si="32"/>
        <v>1.4314342971657602E-3</v>
      </c>
      <c r="D39" s="13">
        <f t="shared" si="33"/>
        <v>177379.46</v>
      </c>
      <c r="E39" s="22">
        <f t="shared" si="34"/>
        <v>207700.8</v>
      </c>
      <c r="F39" s="21">
        <f t="shared" si="35"/>
        <v>2.6970459733471992E-3</v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232</v>
      </c>
      <c r="C40" s="8">
        <f t="shared" si="32"/>
        <v>6.6418551388491273E-2</v>
      </c>
      <c r="D40" s="13">
        <f t="shared" si="33"/>
        <v>8749502.5900000017</v>
      </c>
      <c r="E40" s="23">
        <f t="shared" si="34"/>
        <v>10393382.180000005</v>
      </c>
      <c r="F40" s="21">
        <f t="shared" si="35"/>
        <v>0.13496062392647284</v>
      </c>
      <c r="G40" s="25"/>
      <c r="J40" s="148" t="s">
        <v>0</v>
      </c>
      <c r="K40" s="149"/>
      <c r="L40" s="83">
        <f>SUM(L34:L39)</f>
        <v>3493</v>
      </c>
      <c r="M40" s="17">
        <f>SUM(M34:M39)</f>
        <v>1</v>
      </c>
      <c r="N40" s="84">
        <f>SUM(N34:N39)</f>
        <v>66332671.789999992</v>
      </c>
      <c r="O40" s="85">
        <f>SUM(O34:O39)</f>
        <v>77010478.149999991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1076</v>
      </c>
      <c r="C41" s="8">
        <f t="shared" si="32"/>
        <v>0.30804466075007159</v>
      </c>
      <c r="D41" s="13">
        <f t="shared" si="33"/>
        <v>10140765.519999998</v>
      </c>
      <c r="E41" s="23">
        <f t="shared" si="34"/>
        <v>12172236.890000001</v>
      </c>
      <c r="F41" s="21">
        <f t="shared" si="35"/>
        <v>0.15805948985657609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1988</v>
      </c>
      <c r="C42" s="8">
        <f t="shared" si="32"/>
        <v>0.56913827655310623</v>
      </c>
      <c r="D42" s="13">
        <f t="shared" si="33"/>
        <v>1243221.2699999998</v>
      </c>
      <c r="E42" s="14">
        <f t="shared" si="34"/>
        <v>1463633.439999999</v>
      </c>
      <c r="F42" s="21">
        <f t="shared" si="35"/>
        <v>1.9005640208455177E-2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13</v>
      </c>
      <c r="C44" s="8">
        <f t="shared" si="32"/>
        <v>3.7217291726309764E-3</v>
      </c>
      <c r="D44" s="13">
        <f t="shared" si="39"/>
        <v>14645</v>
      </c>
      <c r="E44" s="14">
        <f t="shared" si="40"/>
        <v>14645</v>
      </c>
      <c r="F44" s="21">
        <f>IF(E44,E44/$E$46,"")</f>
        <v>1.9016892703191193E-4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3493</v>
      </c>
      <c r="C46" s="17">
        <f>SUM(C34:C45)</f>
        <v>1</v>
      </c>
      <c r="D46" s="18">
        <f>SUM(D34:D45)</f>
        <v>66332671.789999992</v>
      </c>
      <c r="E46" s="18">
        <f>SUM(E34:E45)</f>
        <v>77010478.150000006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rintOptions horizontalCentered="1"/>
  <pageMargins left="0.19685039370078741" right="0.19685039370078741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40" zoomScaleNormal="40" workbookViewId="0">
      <selection activeCell="C7" sqref="C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7</v>
      </c>
      <c r="C13" s="20">
        <f t="shared" ref="C13:C24" si="0">IF(B13,B13/$B$25,"")</f>
        <v>1.9718309859154931E-2</v>
      </c>
      <c r="D13" s="10">
        <f>'CONTRACTACIO 1r TR 2022'!D13+'CONTRACTACIO 2n TR 2022'!D13+'CONTRACTACIO 3r TR 2022'!D13+'CONTRACTACIO 4t TR 2022'!D13</f>
        <v>4962285.1399999997</v>
      </c>
      <c r="E13" s="10">
        <f>'CONTRACTACIO 1r TR 2022'!E13+'CONTRACTACIO 2n TR 2022'!E13+'CONTRACTACIO 3r TR 2022'!E13+'CONTRACTACIO 4t TR 2022'!E13</f>
        <v>6004365</v>
      </c>
      <c r="F13" s="21">
        <f t="shared" ref="F13:F24" si="1">IF(E13,E13/$E$25,"")</f>
        <v>0.24250372773201256</v>
      </c>
      <c r="G13" s="9">
        <f>'CONTRACTACIO 1r TR 2022'!G13+'CONTRACTACIO 2n TR 2022'!G13+'CONTRACTACIO 3r TR 2022'!G13+'CONTRACTACIO 4t TR 2022'!G13</f>
        <v>200</v>
      </c>
      <c r="H13" s="20">
        <f t="shared" ref="H13:H24" si="2">IF(G13,G13/$G$25,"")</f>
        <v>3.7864445285876562E-2</v>
      </c>
      <c r="I13" s="10">
        <f>'CONTRACTACIO 1r TR 2022'!I13+'CONTRACTACIO 2n TR 2022'!I13+'CONTRACTACIO 3r TR 2022'!I13+'CONTRACTACIO 4t TR 2022'!I13</f>
        <v>95453643.319999993</v>
      </c>
      <c r="J13" s="10">
        <f>'CONTRACTACIO 1r TR 2022'!J13+'CONTRACTACIO 2n TR 2022'!J13+'CONTRACTACIO 3r TR 2022'!J13+'CONTRACTACIO 4t TR 2022'!J13</f>
        <v>110160786.08999999</v>
      </c>
      <c r="K13" s="21">
        <f t="shared" ref="K13:K24" si="3">IF(J13,J13/$J$25,"")</f>
        <v>0.66384409229439911</v>
      </c>
      <c r="L13" s="9">
        <f>'CONTRACTACIO 1r TR 2022'!L13+'CONTRACTACIO 2n TR 2022'!L13+'CONTRACTACIO 3r TR 2022'!L13+'CONTRACTACIO 4t TR 2022'!L13</f>
        <v>32</v>
      </c>
      <c r="M13" s="20">
        <f t="shared" ref="M13:M24" si="4">IF(L13,L13/$L$25,"")</f>
        <v>1.2012012012012012E-2</v>
      </c>
      <c r="N13" s="10">
        <f>'CONTRACTACIO 1r TR 2022'!N13+'CONTRACTACIO 2n TR 2022'!N13+'CONTRACTACIO 3r TR 2022'!N13+'CONTRACTACIO 4t TR 2022'!N13</f>
        <v>13488994.830000002</v>
      </c>
      <c r="O13" s="10">
        <f>'CONTRACTACIO 1r TR 2022'!O13+'CONTRACTACIO 2n TR 2022'!O13+'CONTRACTACIO 3r TR 2022'!O13+'CONTRACTACIO 4t TR 2022'!O13</f>
        <v>16300169.849999998</v>
      </c>
      <c r="P13" s="21">
        <f t="shared" ref="P13:P24" si="5">IF(O13,O13/$O$25,"")</f>
        <v>0.58432704694103987</v>
      </c>
      <c r="Q13" s="9">
        <f>'CONTRACTACIO 1r TR 2022'!Q13+'CONTRACTACIO 2n TR 2022'!Q13+'CONTRACTACIO 3r TR 2022'!Q13+'CONTRACTACIO 4t TR 2022'!Q13</f>
        <v>1</v>
      </c>
      <c r="R13" s="20">
        <f t="shared" ref="R13:R24" si="6">IF(Q13,Q13/$Q$25,"")</f>
        <v>0.14285714285714285</v>
      </c>
      <c r="S13" s="10">
        <f>'CONTRACTACIO 1r TR 2022'!S13+'CONTRACTACIO 2n TR 2022'!S13+'CONTRACTACIO 3r TR 2022'!S13+'CONTRACTACIO 4t TR 2022'!S13</f>
        <v>168695.27</v>
      </c>
      <c r="T13" s="10">
        <f>'CONTRACTACIO 1r TR 2022'!T13+'CONTRACTACIO 2n TR 2022'!T13+'CONTRACTACIO 3r TR 2022'!T13+'CONTRACTACIO 4t TR 2022'!T13</f>
        <v>168695.27</v>
      </c>
      <c r="U13" s="21">
        <f t="shared" ref="U13:U24" si="7">IF(T13,T13/$T$25,"")</f>
        <v>0.20383266171790101</v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1</v>
      </c>
      <c r="AB13" s="20">
        <f t="shared" ref="AB13:AB24" si="10">IF(AA13,AA13/$AA$25,"")</f>
        <v>8.2644628099173556E-3</v>
      </c>
      <c r="AC13" s="10">
        <f>'CONTRACTACIO 1r TR 2022'!X13+'CONTRACTACIO 2n TR 2022'!X13+'CONTRACTACIO 3r TR 2022'!X13+'CONTRACTACIO 4t TR 2022'!X13</f>
        <v>383150</v>
      </c>
      <c r="AD13" s="10">
        <f>'CONTRACTACIO 1r TR 2022'!Y13+'CONTRACTACIO 2n TR 2022'!Y13+'CONTRACTACIO 3r TR 2022'!Y13+'CONTRACTACIO 4t TR 2022'!Y13</f>
        <v>441526.6</v>
      </c>
      <c r="AE13" s="21">
        <f t="shared" ref="AE13:AE24" si="11">IF(AD13,AD13/$AD$25,"")</f>
        <v>7.7018473171225593E-2</v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37</v>
      </c>
      <c r="C14" s="20">
        <f t="shared" si="0"/>
        <v>0.10422535211267606</v>
      </c>
      <c r="D14" s="13">
        <f>'CONTRACTACIO 1r TR 2022'!D14+'CONTRACTACIO 2n TR 2022'!D14+'CONTRACTACIO 3r TR 2022'!D14+'CONTRACTACIO 4t TR 2022'!D14</f>
        <v>6922508.1699999999</v>
      </c>
      <c r="E14" s="13">
        <f>'CONTRACTACIO 1r TR 2022'!E14+'CONTRACTACIO 2n TR 2022'!E14+'CONTRACTACIO 3r TR 2022'!E14+'CONTRACTACIO 4t TR 2022'!E14</f>
        <v>8376234.879999999</v>
      </c>
      <c r="F14" s="21">
        <f t="shared" si="1"/>
        <v>0.33829858490596537</v>
      </c>
      <c r="G14" s="9">
        <f>'CONTRACTACIO 1r TR 2022'!G14+'CONTRACTACIO 2n TR 2022'!G14+'CONTRACTACIO 3r TR 2022'!G14+'CONTRACTACIO 4t TR 2022'!G14</f>
        <v>81</v>
      </c>
      <c r="H14" s="20">
        <f t="shared" si="2"/>
        <v>1.5335100340780007E-2</v>
      </c>
      <c r="I14" s="13">
        <f>'CONTRACTACIO 1r TR 2022'!I14+'CONTRACTACIO 2n TR 2022'!I14+'CONTRACTACIO 3r TR 2022'!I14+'CONTRACTACIO 4t TR 2022'!I14</f>
        <v>2883784.09</v>
      </c>
      <c r="J14" s="13">
        <f>'CONTRACTACIO 1r TR 2022'!J14+'CONTRACTACIO 2n TR 2022'!J14+'CONTRACTACIO 3r TR 2022'!J14+'CONTRACTACIO 4t TR 2022'!J14</f>
        <v>3463500.46</v>
      </c>
      <c r="K14" s="21">
        <f t="shared" si="3"/>
        <v>2.0871531518951728E-2</v>
      </c>
      <c r="L14" s="9">
        <f>'CONTRACTACIO 1r TR 2022'!L14+'CONTRACTACIO 2n TR 2022'!L14+'CONTRACTACIO 3r TR 2022'!L14+'CONTRACTACIO 4t TR 2022'!L14</f>
        <v>28</v>
      </c>
      <c r="M14" s="20">
        <f t="shared" si="4"/>
        <v>1.0510510510510511E-2</v>
      </c>
      <c r="N14" s="13">
        <f>'CONTRACTACIO 1r TR 2022'!N14+'CONTRACTACIO 2n TR 2022'!N14+'CONTRACTACIO 3r TR 2022'!N14+'CONTRACTACIO 4t TR 2022'!N14</f>
        <v>1456529.8900000001</v>
      </c>
      <c r="O14" s="13">
        <f>'CONTRACTACIO 1r TR 2022'!O14+'CONTRACTACIO 2n TR 2022'!O14+'CONTRACTACIO 3r TR 2022'!O14+'CONTRACTACIO 4t TR 2022'!O14</f>
        <v>1756930.2400000002</v>
      </c>
      <c r="P14" s="21">
        <f t="shared" si="5"/>
        <v>6.2982279833152341E-2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6</v>
      </c>
      <c r="C15" s="20">
        <f t="shared" si="0"/>
        <v>1.6901408450704224E-2</v>
      </c>
      <c r="D15" s="13">
        <f>'CONTRACTACIO 1r TR 2022'!D15+'CONTRACTACIO 2n TR 2022'!D15+'CONTRACTACIO 3r TR 2022'!D15+'CONTRACTACIO 4t TR 2022'!D15</f>
        <v>351038.61</v>
      </c>
      <c r="E15" s="13">
        <f>'CONTRACTACIO 1r TR 2022'!E15+'CONTRACTACIO 2n TR 2022'!E15+'CONTRACTACIO 3r TR 2022'!E15+'CONTRACTACIO 4t TR 2022'!E15</f>
        <v>424756.70999999996</v>
      </c>
      <c r="F15" s="21">
        <f t="shared" si="1"/>
        <v>1.7155033971816405E-2</v>
      </c>
      <c r="G15" s="9">
        <f>'CONTRACTACIO 1r TR 2022'!G15+'CONTRACTACIO 2n TR 2022'!G15+'CONTRACTACIO 3r TR 2022'!G15+'CONTRACTACIO 4t TR 2022'!G15</f>
        <v>77</v>
      </c>
      <c r="H15" s="20">
        <f t="shared" si="2"/>
        <v>1.4577811435062477E-2</v>
      </c>
      <c r="I15" s="13">
        <f>'CONTRACTACIO 1r TR 2022'!I15+'CONTRACTACIO 2n TR 2022'!I15+'CONTRACTACIO 3r TR 2022'!I15+'CONTRACTACIO 4t TR 2022'!I15</f>
        <v>1939963.23</v>
      </c>
      <c r="J15" s="13">
        <f>'CONTRACTACIO 1r TR 2022'!J15+'CONTRACTACIO 2n TR 2022'!J15+'CONTRACTACIO 3r TR 2022'!J15+'CONTRACTACIO 4t TR 2022'!J15</f>
        <v>2292704.0900000003</v>
      </c>
      <c r="K15" s="21">
        <f t="shared" si="3"/>
        <v>1.3816151096473231E-2</v>
      </c>
      <c r="L15" s="9">
        <f>'CONTRACTACIO 1r TR 2022'!L15+'CONTRACTACIO 2n TR 2022'!L15+'CONTRACTACIO 3r TR 2022'!L15+'CONTRACTACIO 4t TR 2022'!L15</f>
        <v>52</v>
      </c>
      <c r="M15" s="20">
        <f t="shared" si="4"/>
        <v>1.951951951951952E-2</v>
      </c>
      <c r="N15" s="13">
        <f>'CONTRACTACIO 1r TR 2022'!N15+'CONTRACTACIO 2n TR 2022'!N15+'CONTRACTACIO 3r TR 2022'!N15+'CONTRACTACIO 4t TR 2022'!N15</f>
        <v>1115570.3400000001</v>
      </c>
      <c r="O15" s="13">
        <f>'CONTRACTACIO 1r TR 2022'!O15+'CONTRACTACIO 2n TR 2022'!O15+'CONTRACTACIO 3r TR 2022'!O15+'CONTRACTACIO 4t TR 2022'!O15</f>
        <v>1339150.0900000001</v>
      </c>
      <c r="P15" s="21">
        <f t="shared" si="5"/>
        <v>4.8005733970957851E-2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1</v>
      </c>
      <c r="AB15" s="20">
        <f t="shared" si="10"/>
        <v>8.2644628099173556E-3</v>
      </c>
      <c r="AC15" s="13">
        <f>'CONTRACTACIO 1r TR 2022'!X15+'CONTRACTACIO 2n TR 2022'!X15+'CONTRACTACIO 3r TR 2022'!X15+'CONTRACTACIO 4t TR 2022'!X15</f>
        <v>612.36</v>
      </c>
      <c r="AD15" s="13">
        <f>'CONTRACTACIO 1r TR 2022'!Y15+'CONTRACTACIO 2n TR 2022'!Y15+'CONTRACTACIO 3r TR 2022'!Y15+'CONTRACTACIO 4t TR 2022'!Y15</f>
        <v>612.36</v>
      </c>
      <c r="AE15" s="21">
        <f t="shared" si="11"/>
        <v>1.0681809936509308E-4</v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6</v>
      </c>
      <c r="R16" s="20">
        <f t="shared" si="6"/>
        <v>0.8571428571428571</v>
      </c>
      <c r="S16" s="13">
        <f>'CONTRACTACIO 1r TR 2022'!S16+'CONTRACTACIO 2n TR 2022'!S16+'CONTRACTACIO 3r TR 2022'!S16+'CONTRACTACIO 4t TR 2022'!S16</f>
        <v>658921.21</v>
      </c>
      <c r="T16" s="13">
        <f>'CONTRACTACIO 1r TR 2022'!T16+'CONTRACTACIO 2n TR 2022'!T16+'CONTRACTACIO 3r TR 2022'!T16+'CONTRACTACIO 4t TR 2022'!T16</f>
        <v>658921.21</v>
      </c>
      <c r="U16" s="21">
        <f t="shared" si="7"/>
        <v>0.79616733828209896</v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15</v>
      </c>
      <c r="H18" s="20">
        <f t="shared" si="2"/>
        <v>2.8398333964407422E-3</v>
      </c>
      <c r="I18" s="13">
        <f>'CONTRACTACIO 1r TR 2022'!I18+'CONTRACTACIO 2n TR 2022'!I18+'CONTRACTACIO 3r TR 2022'!I18+'CONTRACTACIO 4t TR 2022'!I18</f>
        <v>1614911.21</v>
      </c>
      <c r="J18" s="13">
        <f>'CONTRACTACIO 1r TR 2022'!J18+'CONTRACTACIO 2n TR 2022'!J18+'CONTRACTACIO 3r TR 2022'!J18+'CONTRACTACIO 4t TR 2022'!J18</f>
        <v>1921199.19</v>
      </c>
      <c r="K18" s="21">
        <f t="shared" si="3"/>
        <v>1.1577411324573499E-2</v>
      </c>
      <c r="L18" s="9">
        <f>'CONTRACTACIO 1r TR 2022'!L18+'CONTRACTACIO 2n TR 2022'!L18+'CONTRACTACIO 3r TR 2022'!L18+'CONTRACTACIO 4t TR 2022'!L18</f>
        <v>4</v>
      </c>
      <c r="M18" s="20">
        <f t="shared" si="4"/>
        <v>1.5015015015015015E-3</v>
      </c>
      <c r="N18" s="13">
        <f>'CONTRACTACIO 1r TR 2022'!N18+'CONTRACTACIO 2n TR 2022'!N18+'CONTRACTACIO 3r TR 2022'!N18+'CONTRACTACIO 4t TR 2022'!N18</f>
        <v>197909.68</v>
      </c>
      <c r="O18" s="13">
        <f>'CONTRACTACIO 1r TR 2022'!O18+'CONTRACTACIO 2n TR 2022'!O18+'CONTRACTACIO 3r TR 2022'!O18+'CONTRACTACIO 4t TR 2022'!O18</f>
        <v>231639.74</v>
      </c>
      <c r="P18" s="21">
        <f t="shared" si="5"/>
        <v>8.3038009096813355E-3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7</v>
      </c>
      <c r="AB18" s="20">
        <f t="shared" si="10"/>
        <v>5.7851239669421489E-2</v>
      </c>
      <c r="AC18" s="13">
        <f>'CONTRACTACIO 1r TR 2022'!X18+'CONTRACTACIO 2n TR 2022'!X18+'CONTRACTACIO 3r TR 2022'!X18+'CONTRACTACIO 4t TR 2022'!X18</f>
        <v>134424</v>
      </c>
      <c r="AD18" s="13">
        <f>'CONTRACTACIO 1r TR 2022'!Y18+'CONTRACTACIO 2n TR 2022'!Y18+'CONTRACTACIO 3r TR 2022'!Y18+'CONTRACTACIO 4t TR 2022'!Y18</f>
        <v>151494.72</v>
      </c>
      <c r="AE18" s="21">
        <f t="shared" si="11"/>
        <v>2.6426249353724857E-2</v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429</v>
      </c>
      <c r="H19" s="20">
        <f t="shared" si="2"/>
        <v>8.1219235138205226E-2</v>
      </c>
      <c r="I19" s="13">
        <f>'CONTRACTACIO 1r TR 2022'!I19+'CONTRACTACIO 2n TR 2022'!I19+'CONTRACTACIO 3r TR 2022'!I19+'CONTRACTACIO 4t TR 2022'!I19</f>
        <v>23386700.850000001</v>
      </c>
      <c r="J19" s="13">
        <f>'CONTRACTACIO 1r TR 2022'!J19+'CONTRACTACIO 2n TR 2022'!J19+'CONTRACTACIO 3r TR 2022'!J19+'CONTRACTACIO 4t TR 2022'!J19</f>
        <v>28041500.490000002</v>
      </c>
      <c r="K19" s="21">
        <f t="shared" si="3"/>
        <v>0.16898194993042828</v>
      </c>
      <c r="L19" s="9">
        <f>'CONTRACTACIO 1r TR 2022'!L19+'CONTRACTACIO 2n TR 2022'!L19+'CONTRACTACIO 3r TR 2022'!L19+'CONTRACTACIO 4t TR 2022'!L19</f>
        <v>73</v>
      </c>
      <c r="M19" s="20">
        <f t="shared" si="4"/>
        <v>2.7402402402402402E-2</v>
      </c>
      <c r="N19" s="13">
        <f>'CONTRACTACIO 1r TR 2022'!N19+'CONTRACTACIO 2n TR 2022'!N19+'CONTRACTACIO 3r TR 2022'!N19+'CONTRACTACIO 4t TR 2022'!N19</f>
        <v>3389135.3000000003</v>
      </c>
      <c r="O19" s="13">
        <f>'CONTRACTACIO 1r TR 2022'!O19+'CONTRACTACIO 2n TR 2022'!O19+'CONTRACTACIO 3r TR 2022'!O19+'CONTRACTACIO 4t TR 2022'!O19</f>
        <v>4098938.5500000007</v>
      </c>
      <c r="P19" s="21">
        <f t="shared" si="5"/>
        <v>0.14693838656621661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8</v>
      </c>
      <c r="AB19" s="20">
        <f t="shared" si="10"/>
        <v>6.6115702479338845E-2</v>
      </c>
      <c r="AC19" s="13">
        <f>'CONTRACTACIO 1r TR 2022'!X19+'CONTRACTACIO 2n TR 2022'!X19+'CONTRACTACIO 3r TR 2022'!X19+'CONTRACTACIO 4t TR 2022'!X19</f>
        <v>3790322.31</v>
      </c>
      <c r="AD19" s="13">
        <f>'CONTRACTACIO 1r TR 2022'!Y19+'CONTRACTACIO 2n TR 2022'!Y19+'CONTRACTACIO 3r TR 2022'!Y19+'CONTRACTACIO 4t TR 2022'!Y19</f>
        <v>4508800</v>
      </c>
      <c r="AE19" s="21">
        <f t="shared" si="11"/>
        <v>0.78650050038756891</v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305</v>
      </c>
      <c r="C20" s="20">
        <f t="shared" si="0"/>
        <v>0.85915492957746475</v>
      </c>
      <c r="D20" s="13">
        <f>'CONTRACTACIO 1r TR 2022'!D20+'CONTRACTACIO 2n TR 2022'!D20+'CONTRACTACIO 3r TR 2022'!D20+'CONTRACTACIO 4t TR 2022'!D20</f>
        <v>8227489.4699999979</v>
      </c>
      <c r="E20" s="13">
        <f>'CONTRACTACIO 1r TR 2022'!E20+'CONTRACTACIO 2n TR 2022'!E20+'CONTRACTACIO 3r TR 2022'!E20+'CONTRACTACIO 4t TR 2022'!E20</f>
        <v>9954530.8399999999</v>
      </c>
      <c r="F20" s="21">
        <f t="shared" si="1"/>
        <v>0.40204265339020567</v>
      </c>
      <c r="G20" s="9">
        <f>'CONTRACTACIO 1r TR 2022'!G20+'CONTRACTACIO 2n TR 2022'!G20+'CONTRACTACIO 3r TR 2022'!G20+'CONTRACTACIO 4t TR 2022'!G20</f>
        <v>2129</v>
      </c>
      <c r="H20" s="20">
        <f t="shared" si="2"/>
        <v>0.40306702006815598</v>
      </c>
      <c r="I20" s="13">
        <f>'CONTRACTACIO 1r TR 2022'!I20+'CONTRACTACIO 2n TR 2022'!I20+'CONTRACTACIO 3r TR 2022'!I20+'CONTRACTACIO 4t TR 2022'!I20</f>
        <v>14865447.16</v>
      </c>
      <c r="J20" s="13">
        <f>'CONTRACTACIO 1r TR 2022'!J20+'CONTRACTACIO 2n TR 2022'!J20+'CONTRACTACIO 3r TR 2022'!J20+'CONTRACTACIO 4t TR 2022'!J20</f>
        <v>17717167.310000002</v>
      </c>
      <c r="K20" s="21">
        <f t="shared" si="3"/>
        <v>0.10676609407385677</v>
      </c>
      <c r="L20" s="9">
        <f>'CONTRACTACIO 1r TR 2022'!L20+'CONTRACTACIO 2n TR 2022'!L20+'CONTRACTACIO 3r TR 2022'!L20+'CONTRACTACIO 4t TR 2022'!L20</f>
        <v>425</v>
      </c>
      <c r="M20" s="20">
        <f t="shared" si="4"/>
        <v>0.15953453453453453</v>
      </c>
      <c r="N20" s="13">
        <f>'CONTRACTACIO 1r TR 2022'!N20+'CONTRACTACIO 2n TR 2022'!N20+'CONTRACTACIO 3r TR 2022'!N20+'CONTRACTACIO 4t TR 2022'!N20</f>
        <v>2596578.63</v>
      </c>
      <c r="O20" s="13">
        <f>'CONTRACTACIO 1r TR 2022'!O20+'CONTRACTACIO 2n TR 2022'!O20+'CONTRACTACIO 3r TR 2022'!O20+'CONTRACTACIO 4t TR 2022'!O20</f>
        <v>3131970.9400000004</v>
      </c>
      <c r="P20" s="21">
        <f t="shared" si="5"/>
        <v>0.11227461721666375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44</v>
      </c>
      <c r="AB20" s="20">
        <f t="shared" si="10"/>
        <v>0.36363636363636365</v>
      </c>
      <c r="AC20" s="13">
        <f>'CONTRACTACIO 1r TR 2022'!X20+'CONTRACTACIO 2n TR 2022'!X20+'CONTRACTACIO 3r TR 2022'!X20+'CONTRACTACIO 4t TR 2022'!X20</f>
        <v>525513.44999999995</v>
      </c>
      <c r="AD20" s="13">
        <f>'CONTRACTACIO 1r TR 2022'!Y20+'CONTRACTACIO 2n TR 2022'!Y20+'CONTRACTACIO 3r TR 2022'!Y20+'CONTRACTACIO 4t TR 2022'!Y20</f>
        <v>601400.79</v>
      </c>
      <c r="AE20" s="21">
        <f t="shared" si="11"/>
        <v>0.1049064101908444</v>
      </c>
    </row>
    <row r="21" spans="1:31" s="42" customFormat="1" ht="39.9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2275</v>
      </c>
      <c r="H21" s="20">
        <f t="shared" si="2"/>
        <v>0.4307080651268459</v>
      </c>
      <c r="I21" s="13">
        <f>'CONTRACTACIO 1r TR 2022'!I21+'CONTRACTACIO 2n TR 2022'!I21+'CONTRACTACIO 3r TR 2022'!I21+'CONTRACTACIO 4t TR 2022'!I21</f>
        <v>1636886.0399999996</v>
      </c>
      <c r="J21" s="13">
        <f>'CONTRACTACIO 1r TR 2022'!J21+'CONTRACTACIO 2n TR 2022'!J21+'CONTRACTACIO 3r TR 2022'!J21+'CONTRACTACIO 4t TR 2022'!J21</f>
        <v>1911274.4199999995</v>
      </c>
      <c r="K21" s="21">
        <f t="shared" si="3"/>
        <v>1.1517603291554396E-2</v>
      </c>
      <c r="L21" s="9">
        <f>'CONTRACTACIO 1r TR 2022'!L21+'CONTRACTACIO 2n TR 2022'!L21+'CONTRACTACIO 3r TR 2022'!L21+'CONTRACTACIO 4t TR 2022'!L21</f>
        <v>2050</v>
      </c>
      <c r="M21" s="20">
        <f t="shared" si="4"/>
        <v>0.76951951951951947</v>
      </c>
      <c r="N21" s="13">
        <f>'CONTRACTACIO 1r TR 2022'!N21+'CONTRACTACIO 2n TR 2022'!N21+'CONTRACTACIO 3r TR 2022'!N21+'CONTRACTACIO 4t TR 2022'!N21</f>
        <v>864392.79999999993</v>
      </c>
      <c r="O21" s="13">
        <f>'CONTRACTACIO 1r TR 2022'!O21+'CONTRACTACIO 2n TR 2022'!O21+'CONTRACTACIO 3r TR 2022'!O21+'CONTRACTACIO 4t TR 2022'!O21</f>
        <v>1036828.4499999994</v>
      </c>
      <c r="P21" s="21">
        <f t="shared" si="5"/>
        <v>3.7168134562288339E-2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60</v>
      </c>
      <c r="AB21" s="20">
        <f t="shared" si="10"/>
        <v>0.49586776859504134</v>
      </c>
      <c r="AC21" s="13">
        <f>'CONTRACTACIO 1r TR 2022'!X21+'CONTRACTACIO 2n TR 2022'!X21+'CONTRACTACIO 3r TR 2022'!X21+'CONTRACTACIO 4t TR 2022'!X21</f>
        <v>27166.99</v>
      </c>
      <c r="AD21" s="13">
        <f>'CONTRACTACIO 1r TR 2022'!Y21+'CONTRACTACIO 2n TR 2022'!Y21+'CONTRACTACIO 3r TR 2022'!Y21+'CONTRACTACIO 4t TR 2022'!Y21</f>
        <v>28901.869999999995</v>
      </c>
      <c r="AE21" s="21">
        <f t="shared" si="11"/>
        <v>5.0415487972712168E-3</v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76</v>
      </c>
      <c r="H23" s="66">
        <f t="shared" si="2"/>
        <v>1.4388489208633094E-2</v>
      </c>
      <c r="I23" s="77">
        <f>'CONTRACTACIO 1r TR 2022'!I23+'CONTRACTACIO 2n TR 2022'!I23+'CONTRACTACIO 3r TR 2022'!I23+'CONTRACTACIO 4t TR 2022'!I23</f>
        <v>432419.26</v>
      </c>
      <c r="J23" s="78">
        <f>'CONTRACTACIO 1r TR 2022'!J23+'CONTRACTACIO 2n TR 2022'!J23+'CONTRACTACIO 3r TR 2022'!J23+'CONTRACTACIO 4t TR 2022'!J23</f>
        <v>435630</v>
      </c>
      <c r="K23" s="67">
        <f t="shared" si="3"/>
        <v>2.6251664697630617E-3</v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355</v>
      </c>
      <c r="C25" s="17">
        <f t="shared" si="12"/>
        <v>1</v>
      </c>
      <c r="D25" s="18">
        <f t="shared" si="12"/>
        <v>20463321.389999997</v>
      </c>
      <c r="E25" s="18">
        <f t="shared" si="12"/>
        <v>24759887.43</v>
      </c>
      <c r="F25" s="19">
        <f t="shared" si="12"/>
        <v>1</v>
      </c>
      <c r="G25" s="16">
        <f t="shared" si="12"/>
        <v>5282</v>
      </c>
      <c r="H25" s="17">
        <f t="shared" si="12"/>
        <v>1</v>
      </c>
      <c r="I25" s="18">
        <f t="shared" si="12"/>
        <v>142213755.15999997</v>
      </c>
      <c r="J25" s="18">
        <f t="shared" si="12"/>
        <v>165943762.04999998</v>
      </c>
      <c r="K25" s="19">
        <f t="shared" si="12"/>
        <v>1</v>
      </c>
      <c r="L25" s="16">
        <f t="shared" si="12"/>
        <v>2664</v>
      </c>
      <c r="M25" s="17">
        <f t="shared" si="12"/>
        <v>1</v>
      </c>
      <c r="N25" s="18">
        <f t="shared" si="12"/>
        <v>23109111.470000003</v>
      </c>
      <c r="O25" s="18">
        <f t="shared" si="12"/>
        <v>27895627.859999996</v>
      </c>
      <c r="P25" s="19">
        <f t="shared" si="12"/>
        <v>1</v>
      </c>
      <c r="Q25" s="16">
        <f t="shared" si="12"/>
        <v>7</v>
      </c>
      <c r="R25" s="17">
        <f t="shared" si="12"/>
        <v>1</v>
      </c>
      <c r="S25" s="18">
        <f t="shared" si="12"/>
        <v>827616.48</v>
      </c>
      <c r="T25" s="18">
        <f t="shared" si="12"/>
        <v>827616.48</v>
      </c>
      <c r="U25" s="19">
        <f t="shared" si="12"/>
        <v>1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121</v>
      </c>
      <c r="AB25" s="17">
        <f t="shared" si="12"/>
        <v>1</v>
      </c>
      <c r="AC25" s="18">
        <f t="shared" si="12"/>
        <v>4861189.1100000003</v>
      </c>
      <c r="AD25" s="18">
        <f t="shared" si="12"/>
        <v>5732736.3399999999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2022'!A28:Q28</f>
        <v>https://bcnroc.ajuntament.barcelona.cat/jspui/bitstream/11703/123722/5/GM_Pressupost_2022.pdf#page=265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241</v>
      </c>
      <c r="C34" s="8">
        <f t="shared" ref="C34:C40" si="14">IF(B34,B34/$B$46,"")</f>
        <v>2.8591766520346423E-2</v>
      </c>
      <c r="D34" s="10">
        <f t="shared" ref="D34:D43" si="15">D13+I13+N13+S13+X13+AC13</f>
        <v>114456768.55999999</v>
      </c>
      <c r="E34" s="11">
        <f t="shared" ref="E34:E43" si="16">E13+J13+O13+T13+Y13+AD13</f>
        <v>133075542.80999997</v>
      </c>
      <c r="F34" s="21">
        <f t="shared" ref="F34:F40" si="17">IF(E34,E34/$E$46,"")</f>
        <v>0.59102754217279341</v>
      </c>
      <c r="J34" s="150" t="s">
        <v>3</v>
      </c>
      <c r="K34" s="151"/>
      <c r="L34" s="57">
        <f>B25</f>
        <v>355</v>
      </c>
      <c r="M34" s="8">
        <f t="shared" ref="M34:M39" si="18">IF(L34,L34/$L$40,"")</f>
        <v>4.2116502550717763E-2</v>
      </c>
      <c r="N34" s="58">
        <f>D25</f>
        <v>20463321.389999997</v>
      </c>
      <c r="O34" s="58">
        <f>E25</f>
        <v>24759887.43</v>
      </c>
      <c r="P34" s="59">
        <f t="shared" ref="P34:P39" si="19">IF(O34,O34/$O$40,"")</f>
        <v>0.10996592689553387</v>
      </c>
    </row>
    <row r="35" spans="1:33" s="25" customFormat="1" ht="30" customHeight="1" x14ac:dyDescent="0.3">
      <c r="A35" s="43" t="s">
        <v>18</v>
      </c>
      <c r="B35" s="12">
        <f t="shared" si="13"/>
        <v>146</v>
      </c>
      <c r="C35" s="8">
        <f t="shared" si="14"/>
        <v>1.7321153161703642E-2</v>
      </c>
      <c r="D35" s="13">
        <f t="shared" si="15"/>
        <v>11262822.15</v>
      </c>
      <c r="E35" s="14">
        <f t="shared" si="16"/>
        <v>13596665.58</v>
      </c>
      <c r="F35" s="21">
        <f t="shared" si="17"/>
        <v>6.0386782347875208E-2</v>
      </c>
      <c r="J35" s="146" t="s">
        <v>1</v>
      </c>
      <c r="K35" s="147"/>
      <c r="L35" s="60">
        <f>G25</f>
        <v>5282</v>
      </c>
      <c r="M35" s="8">
        <f t="shared" si="18"/>
        <v>0.62664610274053867</v>
      </c>
      <c r="N35" s="61">
        <f>I25</f>
        <v>142213755.15999997</v>
      </c>
      <c r="O35" s="61">
        <f>J25</f>
        <v>165943762.04999998</v>
      </c>
      <c r="P35" s="59">
        <f t="shared" si="19"/>
        <v>0.73700495036378955</v>
      </c>
    </row>
    <row r="36" spans="1:33" s="25" customFormat="1" ht="30" customHeight="1" x14ac:dyDescent="0.3">
      <c r="A36" s="43" t="s">
        <v>19</v>
      </c>
      <c r="B36" s="12">
        <f t="shared" si="13"/>
        <v>136</v>
      </c>
      <c r="C36" s="8">
        <f t="shared" si="14"/>
        <v>1.6134772808162296E-2</v>
      </c>
      <c r="D36" s="13">
        <f t="shared" si="15"/>
        <v>3407184.5399999996</v>
      </c>
      <c r="E36" s="14">
        <f t="shared" si="16"/>
        <v>4057223.2500000005</v>
      </c>
      <c r="F36" s="21">
        <f t="shared" si="17"/>
        <v>1.8019319214181106E-2</v>
      </c>
      <c r="J36" s="146" t="s">
        <v>2</v>
      </c>
      <c r="K36" s="147"/>
      <c r="L36" s="60">
        <f>L25</f>
        <v>2664</v>
      </c>
      <c r="M36" s="8">
        <f t="shared" si="18"/>
        <v>0.31605172618341443</v>
      </c>
      <c r="N36" s="61">
        <f>N25</f>
        <v>23109111.470000003</v>
      </c>
      <c r="O36" s="61">
        <f>O25</f>
        <v>27895627.859999996</v>
      </c>
      <c r="P36" s="59">
        <f t="shared" si="19"/>
        <v>0.12389267045863049</v>
      </c>
    </row>
    <row r="37" spans="1:33" ht="30" customHeight="1" x14ac:dyDescent="0.3">
      <c r="A37" s="43" t="s">
        <v>26</v>
      </c>
      <c r="B37" s="12">
        <f t="shared" si="13"/>
        <v>6</v>
      </c>
      <c r="C37" s="8">
        <f t="shared" si="14"/>
        <v>7.1182821212480726E-4</v>
      </c>
      <c r="D37" s="13">
        <f t="shared" si="15"/>
        <v>658921.21</v>
      </c>
      <c r="E37" s="14">
        <f t="shared" si="16"/>
        <v>658921.21</v>
      </c>
      <c r="F37" s="21">
        <f t="shared" si="17"/>
        <v>2.9264624814482323E-3</v>
      </c>
      <c r="G37" s="25"/>
      <c r="H37" s="25"/>
      <c r="I37" s="25"/>
      <c r="J37" s="146" t="s">
        <v>34</v>
      </c>
      <c r="K37" s="147"/>
      <c r="L37" s="60">
        <f>Q25</f>
        <v>7</v>
      </c>
      <c r="M37" s="8">
        <f t="shared" si="18"/>
        <v>8.3046624747894172E-4</v>
      </c>
      <c r="N37" s="61">
        <f>S25</f>
        <v>827616.48</v>
      </c>
      <c r="O37" s="61">
        <f>T25</f>
        <v>827616.48</v>
      </c>
      <c r="P37" s="59">
        <f t="shared" si="19"/>
        <v>3.6756876861624354E-3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121</v>
      </c>
      <c r="M38" s="8">
        <f t="shared" si="18"/>
        <v>1.4355202277850278E-2</v>
      </c>
      <c r="N38" s="61">
        <f>AC25</f>
        <v>4861189.1100000003</v>
      </c>
      <c r="O38" s="61">
        <f>AD25</f>
        <v>5732736.3399999999</v>
      </c>
      <c r="P38" s="59">
        <f t="shared" si="19"/>
        <v>2.5460764595883721E-2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26</v>
      </c>
      <c r="C39" s="8">
        <f t="shared" si="14"/>
        <v>3.084588919207498E-3</v>
      </c>
      <c r="D39" s="13">
        <f t="shared" si="15"/>
        <v>1947244.89</v>
      </c>
      <c r="E39" s="22">
        <f t="shared" si="16"/>
        <v>2304333.65</v>
      </c>
      <c r="F39" s="21">
        <f t="shared" si="17"/>
        <v>1.0234222042213003E-2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510</v>
      </c>
      <c r="C40" s="8">
        <f t="shared" si="14"/>
        <v>6.0505398030608615E-2</v>
      </c>
      <c r="D40" s="13">
        <f t="shared" si="15"/>
        <v>30566158.460000001</v>
      </c>
      <c r="E40" s="23">
        <f t="shared" si="16"/>
        <v>36649239.040000007</v>
      </c>
      <c r="F40" s="21">
        <f t="shared" si="17"/>
        <v>0.16277002682033542</v>
      </c>
      <c r="G40" s="25"/>
      <c r="H40" s="25"/>
      <c r="I40" s="25"/>
      <c r="J40" s="148" t="s">
        <v>0</v>
      </c>
      <c r="K40" s="149"/>
      <c r="L40" s="83">
        <f>SUM(L34:L39)</f>
        <v>8429</v>
      </c>
      <c r="M40" s="17">
        <f>SUM(M34:M39)</f>
        <v>1.0000000000000002</v>
      </c>
      <c r="N40" s="84">
        <f>SUM(N34:N39)</f>
        <v>191474993.60999995</v>
      </c>
      <c r="O40" s="85">
        <f>SUM(O34:O39)</f>
        <v>225159630.15999997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2903</v>
      </c>
      <c r="C41" s="8">
        <f>IF(B41,B41/$B$46,"")</f>
        <v>0.34440621663305254</v>
      </c>
      <c r="D41" s="13">
        <f t="shared" si="15"/>
        <v>26215028.709999997</v>
      </c>
      <c r="E41" s="23">
        <f t="shared" si="16"/>
        <v>31405069.880000003</v>
      </c>
      <c r="F41" s="21">
        <f>IF(E41,E41/$E$46,"")</f>
        <v>0.13947913246119359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4385</v>
      </c>
      <c r="C42" s="8">
        <f>IF(B42,B42/$B$46,"")</f>
        <v>0.52022778502787992</v>
      </c>
      <c r="D42" s="13">
        <f t="shared" si="15"/>
        <v>2528445.8299999996</v>
      </c>
      <c r="E42" s="14">
        <f t="shared" si="16"/>
        <v>2977004.7399999988</v>
      </c>
      <c r="F42" s="21">
        <f>IF(E42,E42/$E$46,"")</f>
        <v>1.3221751776215471E-2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76</v>
      </c>
      <c r="C44" s="8">
        <f>IF(B44,B44/$B$46,"")</f>
        <v>9.0164906869142254E-3</v>
      </c>
      <c r="D44" s="13">
        <f t="shared" ref="D44" si="21">D23+I23+N23+S23+X23+AC23</f>
        <v>432419.26</v>
      </c>
      <c r="E44" s="14">
        <f t="shared" ref="E44" si="22">E23+J23+O23+T23+Y23+AD23</f>
        <v>435630</v>
      </c>
      <c r="F44" s="21">
        <f>IF(E44,E44/$E$46,"")</f>
        <v>1.9347606837444094E-3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8429</v>
      </c>
      <c r="C46" s="17">
        <f>SUM(C34:C45)</f>
        <v>1</v>
      </c>
      <c r="D46" s="18">
        <f>SUM(D34:D45)</f>
        <v>191474993.61000001</v>
      </c>
      <c r="E46" s="18">
        <f>SUM(E34:E45)</f>
        <v>225159630.16000003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rintOptions horizontalCentered="1"/>
  <pageMargins left="0.19685039370078741" right="0.19685039370078741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2023-03-07T13:39:01Z</cp:lastPrinted>
  <dcterms:created xsi:type="dcterms:W3CDTF">2016-02-03T12:33:15Z</dcterms:created>
  <dcterms:modified xsi:type="dcterms:W3CDTF">2023-03-07T18:07:50Z</dcterms:modified>
</cp:coreProperties>
</file>