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anmarin\Desktop\"/>
    </mc:Choice>
  </mc:AlternateContent>
  <bookViews>
    <workbookView xWindow="0" yWindow="0" windowWidth="23040" windowHeight="11460"/>
  </bookViews>
  <sheets>
    <sheet name="GLOBAL" sheetId="1" r:id="rId1"/>
  </sheets>
  <definedNames>
    <definedName name="_xlnm.Print_Titles" localSheetId="0">GLOBAL!$9:$9</definedName>
  </definedNames>
  <calcPr calcId="152511"/>
</workbook>
</file>

<file path=xl/calcChain.xml><?xml version="1.0" encoding="utf-8"?>
<calcChain xmlns="http://schemas.openxmlformats.org/spreadsheetml/2006/main">
  <c r="M118" i="1" l="1"/>
  <c r="L118" i="1"/>
  <c r="K118" i="1"/>
  <c r="J118" i="1"/>
  <c r="E118" i="1"/>
  <c r="K89" i="1"/>
  <c r="M121" i="1" l="1"/>
  <c r="C89" i="1" l="1"/>
  <c r="C126" i="1" l="1"/>
  <c r="B31" i="1"/>
  <c r="B30" i="1"/>
  <c r="I121" i="1" l="1"/>
  <c r="I104" i="1" l="1"/>
  <c r="F104" i="1" s="1"/>
  <c r="C104" i="1"/>
  <c r="I103" i="1"/>
  <c r="H103" i="1"/>
  <c r="C103" i="1"/>
  <c r="F103" i="1" l="1"/>
  <c r="D80" i="1"/>
  <c r="M80" i="1"/>
  <c r="M67" i="1"/>
  <c r="I67" i="1" s="1"/>
  <c r="F67" i="1" s="1"/>
  <c r="B48" i="1" l="1"/>
  <c r="B47" i="1"/>
  <c r="E46" i="1"/>
  <c r="C45" i="1"/>
  <c r="C44" i="1"/>
  <c r="B41" i="1"/>
  <c r="B39" i="1"/>
  <c r="E38" i="1"/>
  <c r="B38" i="1"/>
  <c r="B34" i="1"/>
  <c r="B33" i="1"/>
  <c r="B32" i="1"/>
  <c r="D30" i="1"/>
  <c r="C30" i="1"/>
  <c r="D43" i="1"/>
  <c r="C43" i="1"/>
  <c r="B43" i="1"/>
  <c r="D27" i="1"/>
  <c r="C27" i="1"/>
  <c r="D25" i="1"/>
  <c r="E24" i="1"/>
  <c r="E23" i="1"/>
  <c r="B22" i="1"/>
  <c r="C21" i="1"/>
  <c r="B21" i="1"/>
  <c r="B20" i="1"/>
  <c r="E19" i="1"/>
  <c r="B17" i="1"/>
  <c r="B16" i="1"/>
  <c r="B15" i="1"/>
  <c r="B14" i="1"/>
  <c r="B12" i="1"/>
  <c r="I119" i="1"/>
  <c r="F119" i="1" s="1"/>
  <c r="I120" i="1"/>
  <c r="F120" i="1" s="1"/>
  <c r="F121" i="1"/>
  <c r="I122" i="1"/>
  <c r="F122" i="1" s="1"/>
  <c r="I123" i="1"/>
  <c r="F123" i="1" s="1"/>
  <c r="I124" i="1"/>
  <c r="F124" i="1" s="1"/>
  <c r="I118" i="1"/>
  <c r="F118" i="1" s="1"/>
  <c r="D149" i="1" l="1"/>
  <c r="C145" i="1"/>
  <c r="C144" i="1"/>
  <c r="B143" i="1"/>
  <c r="D135" i="1"/>
  <c r="B132" i="1"/>
  <c r="D130" i="1"/>
  <c r="B129" i="1"/>
  <c r="I82" i="1"/>
  <c r="F82" i="1" s="1"/>
  <c r="I172" i="1"/>
  <c r="F172" i="1" s="1"/>
  <c r="I174" i="1"/>
  <c r="F174" i="1" s="1"/>
  <c r="I71" i="1"/>
  <c r="F71" i="1" s="1"/>
  <c r="I154" i="1"/>
  <c r="F154" i="1" s="1"/>
  <c r="I66" i="1"/>
  <c r="F66" i="1" s="1"/>
  <c r="B105" i="1"/>
  <c r="M105" i="1"/>
  <c r="I105" i="1" s="1"/>
  <c r="F105" i="1" s="1"/>
  <c r="I16" i="1" l="1"/>
  <c r="F16" i="1" s="1"/>
  <c r="E64" i="1" l="1"/>
  <c r="L64" i="1"/>
  <c r="B96" i="1"/>
  <c r="P149" i="1"/>
  <c r="L149" i="1"/>
  <c r="I80" i="1" l="1"/>
  <c r="F80" i="1" s="1"/>
  <c r="B50" i="1"/>
  <c r="I13" i="1"/>
  <c r="I14" i="1"/>
  <c r="D50" i="1" l="1"/>
  <c r="E50" i="1"/>
  <c r="C50" i="1"/>
  <c r="C85" i="1" l="1"/>
  <c r="D79" i="1"/>
  <c r="B78" i="1"/>
  <c r="E62" i="1"/>
  <c r="B93" i="1"/>
  <c r="E137" i="1" l="1"/>
  <c r="E176" i="1" s="1"/>
  <c r="C176" i="1" l="1"/>
  <c r="D115" i="1"/>
  <c r="D176" i="1" s="1"/>
  <c r="B98" i="1" l="1"/>
  <c r="B97" i="1"/>
  <c r="F134" i="1"/>
  <c r="F136" i="1"/>
  <c r="F175" i="1"/>
  <c r="B176" i="1" l="1"/>
  <c r="L131" i="1"/>
  <c r="F14" i="1" l="1"/>
  <c r="I15" i="1"/>
  <c r="F15" i="1" s="1"/>
  <c r="I17" i="1"/>
  <c r="I18" i="1"/>
  <c r="F18" i="1" s="1"/>
  <c r="I19" i="1"/>
  <c r="F19" i="1" s="1"/>
  <c r="I20" i="1"/>
  <c r="I21" i="1"/>
  <c r="I22" i="1"/>
  <c r="I23" i="1"/>
  <c r="F23" i="1" s="1"/>
  <c r="I24" i="1"/>
  <c r="I25" i="1"/>
  <c r="I26" i="1"/>
  <c r="F26" i="1" s="1"/>
  <c r="I51" i="1"/>
  <c r="F51" i="1" s="1"/>
  <c r="I52" i="1"/>
  <c r="F52" i="1" s="1"/>
  <c r="I53" i="1"/>
  <c r="F53" i="1" s="1"/>
  <c r="I54" i="1"/>
  <c r="F54" i="1" s="1"/>
  <c r="I55" i="1"/>
  <c r="F55" i="1" s="1"/>
  <c r="I56" i="1"/>
  <c r="F56" i="1" s="1"/>
  <c r="I57" i="1"/>
  <c r="F57" i="1" s="1"/>
  <c r="I58" i="1"/>
  <c r="F58" i="1" s="1"/>
  <c r="I49" i="1"/>
  <c r="F49" i="1" s="1"/>
  <c r="I27" i="1"/>
  <c r="I28" i="1"/>
  <c r="F28" i="1" s="1"/>
  <c r="I29" i="1"/>
  <c r="F29" i="1" s="1"/>
  <c r="I30" i="1"/>
  <c r="F30" i="1" s="1"/>
  <c r="I31" i="1"/>
  <c r="I32" i="1"/>
  <c r="I33" i="1"/>
  <c r="I34" i="1"/>
  <c r="I35" i="1"/>
  <c r="F35" i="1" s="1"/>
  <c r="I36" i="1"/>
  <c r="F36" i="1" s="1"/>
  <c r="I37" i="1"/>
  <c r="F37" i="1" s="1"/>
  <c r="I38" i="1"/>
  <c r="F38" i="1" s="1"/>
  <c r="I39" i="1"/>
  <c r="I40" i="1"/>
  <c r="F40" i="1" s="1"/>
  <c r="I41" i="1"/>
  <c r="F41" i="1" s="1"/>
  <c r="I42" i="1"/>
  <c r="F42" i="1" s="1"/>
  <c r="I43" i="1"/>
  <c r="I44" i="1"/>
  <c r="I45" i="1"/>
  <c r="I46" i="1"/>
  <c r="F46" i="1" s="1"/>
  <c r="I47" i="1"/>
  <c r="I48" i="1"/>
  <c r="I59" i="1"/>
  <c r="I60" i="1"/>
  <c r="F60" i="1" s="1"/>
  <c r="I61" i="1"/>
  <c r="F61" i="1" s="1"/>
  <c r="I62" i="1"/>
  <c r="F62" i="1" s="1"/>
  <c r="I63" i="1"/>
  <c r="F63" i="1" s="1"/>
  <c r="I64" i="1"/>
  <c r="I68" i="1"/>
  <c r="I69" i="1"/>
  <c r="F69" i="1" s="1"/>
  <c r="I70" i="1"/>
  <c r="F70" i="1" s="1"/>
  <c r="I72" i="1"/>
  <c r="I73" i="1"/>
  <c r="I74" i="1"/>
  <c r="I12" i="1"/>
  <c r="F12" i="1" s="1"/>
  <c r="H74" i="1" l="1"/>
  <c r="F74" i="1" s="1"/>
  <c r="H73" i="1"/>
  <c r="F73" i="1" s="1"/>
  <c r="H64" i="1"/>
  <c r="F64" i="1" s="1"/>
  <c r="H48" i="1"/>
  <c r="F48" i="1" s="1"/>
  <c r="H47" i="1"/>
  <c r="F47" i="1" s="1"/>
  <c r="F45" i="1"/>
  <c r="H44" i="1"/>
  <c r="F44" i="1" s="1"/>
  <c r="H43" i="1"/>
  <c r="F43" i="1" s="1"/>
  <c r="H39" i="1"/>
  <c r="F39" i="1" s="1"/>
  <c r="H34" i="1"/>
  <c r="F34" i="1" s="1"/>
  <c r="H33" i="1"/>
  <c r="F33" i="1" s="1"/>
  <c r="H32" i="1"/>
  <c r="F32" i="1" s="1"/>
  <c r="H31" i="1"/>
  <c r="F31" i="1" s="1"/>
  <c r="H27" i="1"/>
  <c r="F27" i="1" s="1"/>
  <c r="H25" i="1"/>
  <c r="F25" i="1" s="1"/>
  <c r="H24" i="1"/>
  <c r="F24" i="1" s="1"/>
  <c r="H22" i="1"/>
  <c r="F22" i="1" s="1"/>
  <c r="H21" i="1"/>
  <c r="F21" i="1" s="1"/>
  <c r="H20" i="1"/>
  <c r="F20" i="1" s="1"/>
  <c r="H17" i="1"/>
  <c r="N176" i="1"/>
  <c r="Q176" i="1"/>
  <c r="R176" i="1"/>
  <c r="I170" i="1"/>
  <c r="F170" i="1" s="1"/>
  <c r="L169" i="1"/>
  <c r="I169" i="1" s="1"/>
  <c r="F169" i="1" s="1"/>
  <c r="I167" i="1"/>
  <c r="F167" i="1" s="1"/>
  <c r="I166" i="1"/>
  <c r="F166" i="1" s="1"/>
  <c r="I165" i="1"/>
  <c r="F165" i="1" s="1"/>
  <c r="K164" i="1"/>
  <c r="I164" i="1" s="1"/>
  <c r="F164" i="1" s="1"/>
  <c r="L163" i="1"/>
  <c r="I163" i="1" s="1"/>
  <c r="F163" i="1" s="1"/>
  <c r="I161" i="1"/>
  <c r="F161" i="1" s="1"/>
  <c r="I160" i="1"/>
  <c r="F160" i="1" s="1"/>
  <c r="I159" i="1"/>
  <c r="F159" i="1" s="1"/>
  <c r="I158" i="1"/>
  <c r="F158" i="1" s="1"/>
  <c r="I157" i="1"/>
  <c r="F157" i="1" s="1"/>
  <c r="I156" i="1"/>
  <c r="F156" i="1" s="1"/>
  <c r="I153" i="1"/>
  <c r="F153" i="1" s="1"/>
  <c r="I152" i="1"/>
  <c r="F152" i="1" s="1"/>
  <c r="L151" i="1"/>
  <c r="K151" i="1"/>
  <c r="I149" i="1"/>
  <c r="H149" i="1"/>
  <c r="I148" i="1"/>
  <c r="H148" i="1"/>
  <c r="M146" i="1"/>
  <c r="L146" i="1"/>
  <c r="J146" i="1"/>
  <c r="P145" i="1"/>
  <c r="M145" i="1"/>
  <c r="L145" i="1"/>
  <c r="K145" i="1"/>
  <c r="J145" i="1"/>
  <c r="H145" i="1"/>
  <c r="P144" i="1"/>
  <c r="O176" i="1"/>
  <c r="L144" i="1"/>
  <c r="K144" i="1"/>
  <c r="J144" i="1"/>
  <c r="H144" i="1"/>
  <c r="K143" i="1"/>
  <c r="I143" i="1" s="1"/>
  <c r="H143" i="1"/>
  <c r="L141" i="1"/>
  <c r="I141" i="1" s="1"/>
  <c r="H141" i="1"/>
  <c r="I139" i="1"/>
  <c r="F139" i="1" s="1"/>
  <c r="M137" i="1"/>
  <c r="J137" i="1"/>
  <c r="I137" i="1" s="1"/>
  <c r="H137" i="1"/>
  <c r="I135" i="1"/>
  <c r="F135" i="1" s="1"/>
  <c r="M133" i="1"/>
  <c r="I133" i="1" s="1"/>
  <c r="H133" i="1"/>
  <c r="K132" i="1"/>
  <c r="I132" i="1" s="1"/>
  <c r="H132" i="1"/>
  <c r="I131" i="1"/>
  <c r="F131" i="1" s="1"/>
  <c r="K130" i="1"/>
  <c r="I130" i="1" s="1"/>
  <c r="H130" i="1"/>
  <c r="I129" i="1"/>
  <c r="H129" i="1"/>
  <c r="I126" i="1"/>
  <c r="F126" i="1" s="1"/>
  <c r="I116" i="1"/>
  <c r="F116" i="1" s="1"/>
  <c r="I115" i="1"/>
  <c r="F115" i="1" s="1"/>
  <c r="H115" i="1"/>
  <c r="I113" i="1"/>
  <c r="F113" i="1" s="1"/>
  <c r="I112" i="1"/>
  <c r="F112" i="1" s="1"/>
  <c r="I111" i="1"/>
  <c r="F111" i="1" s="1"/>
  <c r="I110" i="1"/>
  <c r="F110" i="1" s="1"/>
  <c r="I109" i="1"/>
  <c r="F109" i="1" s="1"/>
  <c r="I108" i="1"/>
  <c r="F108" i="1" s="1"/>
  <c r="I107" i="1"/>
  <c r="F107" i="1" s="1"/>
  <c r="I102" i="1"/>
  <c r="F102" i="1" s="1"/>
  <c r="I101" i="1"/>
  <c r="F101" i="1" s="1"/>
  <c r="I100" i="1"/>
  <c r="F100" i="1" s="1"/>
  <c r="I99" i="1"/>
  <c r="F99" i="1" s="1"/>
  <c r="I98" i="1"/>
  <c r="F98" i="1" s="1"/>
  <c r="I97" i="1"/>
  <c r="H97" i="1"/>
  <c r="I96" i="1"/>
  <c r="F96" i="1" s="1"/>
  <c r="I95" i="1"/>
  <c r="F95" i="1" s="1"/>
  <c r="I93" i="1"/>
  <c r="F93" i="1" s="1"/>
  <c r="I91" i="1"/>
  <c r="F91" i="1" s="1"/>
  <c r="I90" i="1"/>
  <c r="F90" i="1" s="1"/>
  <c r="I89" i="1"/>
  <c r="F89" i="1" s="1"/>
  <c r="I88" i="1"/>
  <c r="F88" i="1" s="1"/>
  <c r="I86" i="1"/>
  <c r="F86" i="1" s="1"/>
  <c r="I85" i="1"/>
  <c r="F85" i="1" s="1"/>
  <c r="I84" i="1"/>
  <c r="F84" i="1" s="1"/>
  <c r="I79" i="1"/>
  <c r="F79" i="1" s="1"/>
  <c r="I78" i="1"/>
  <c r="F78" i="1" s="1"/>
  <c r="I76" i="1"/>
  <c r="F76" i="1" s="1"/>
  <c r="F17" i="1" l="1"/>
  <c r="H176" i="1"/>
  <c r="P176" i="1"/>
  <c r="F97" i="1"/>
  <c r="F132" i="1"/>
  <c r="F133" i="1"/>
  <c r="F149" i="1"/>
  <c r="I144" i="1"/>
  <c r="F144" i="1" s="1"/>
  <c r="F148" i="1"/>
  <c r="F129" i="1"/>
  <c r="F130" i="1"/>
  <c r="F137" i="1"/>
  <c r="F141" i="1"/>
  <c r="F143" i="1"/>
  <c r="I145" i="1"/>
  <c r="F145" i="1" s="1"/>
  <c r="I151" i="1"/>
  <c r="F151" i="1" s="1"/>
  <c r="J176" i="1"/>
  <c r="M176" i="1"/>
  <c r="K176" i="1"/>
  <c r="I146" i="1"/>
  <c r="F146" i="1" s="1"/>
  <c r="L176" i="1"/>
  <c r="I176" i="1" l="1"/>
  <c r="F176" i="1" s="1"/>
  <c r="E177" i="1" l="1"/>
  <c r="C177" i="1"/>
  <c r="D177" i="1"/>
  <c r="B177" i="1"/>
</calcChain>
</file>

<file path=xl/sharedStrings.xml><?xml version="1.0" encoding="utf-8"?>
<sst xmlns="http://schemas.openxmlformats.org/spreadsheetml/2006/main" count="187" uniqueCount="177">
  <si>
    <t>AJUNTAMENT DE BARCELONA</t>
  </si>
  <si>
    <t>DENOMINACIO CAMPANYA</t>
  </si>
  <si>
    <t>TOTAL CAMPANYA</t>
  </si>
  <si>
    <t>EMISSORES DE RÀDIO</t>
  </si>
  <si>
    <t>REVISTES</t>
  </si>
  <si>
    <t>INTERNET</t>
  </si>
  <si>
    <t>PREMSA DIÀRIA</t>
  </si>
  <si>
    <t>EXTERIOR</t>
  </si>
  <si>
    <t>TELEVISIÓ</t>
  </si>
  <si>
    <t>ACCIONS ESPECIALS</t>
  </si>
  <si>
    <t>ALTRES SUPORTS</t>
  </si>
  <si>
    <t>ACCIO GUARDIA URBANA 2015</t>
  </si>
  <si>
    <t>BARCELONA ESPAIS 2015</t>
  </si>
  <si>
    <t>BARCELONA INSPIRA 2015</t>
  </si>
  <si>
    <t>BARCELONES 2015 (LES 10 BARCELONES)</t>
  </si>
  <si>
    <t>CAMPANYA GREC 2015</t>
  </si>
  <si>
    <t>CAMPANYA NADAL 2015</t>
  </si>
  <si>
    <t>CAMPANYA OPEN DATA 2015</t>
  </si>
  <si>
    <t>CAMPANYA TELEASSISTENCIA 2015</t>
  </si>
  <si>
    <t>CAP D'ANY 2015-2016</t>
  </si>
  <si>
    <t>CIMERA PREMIS NOBEL DE LA PAU</t>
  </si>
  <si>
    <t>CIVISME 2015</t>
  </si>
  <si>
    <t>CONTINGUT REDACCIONAL D'INTERÈS CIUTADÀ</t>
  </si>
  <si>
    <t>CONTINGUTS DE CULTURA</t>
  </si>
  <si>
    <t>CONTINGUTS D'ECONOMIA</t>
  </si>
  <si>
    <t>CONTINGUTS D'ESPORTS</t>
  </si>
  <si>
    <t>CONTINGUTS D'HABITAT URBÀ</t>
  </si>
  <si>
    <t xml:space="preserve">CONTINGUTS DE MOBILITAT </t>
  </si>
  <si>
    <t>CONTINGUTS D'INTERÈS SOCIAL</t>
  </si>
  <si>
    <t>CONTINGUTS DE TERRITORI</t>
  </si>
  <si>
    <t>CONTINGUTS TEMES GENÈRICS</t>
  </si>
  <si>
    <t>ESTIU 2015</t>
  </si>
  <si>
    <t>FESTA DELS SUPERS 2015</t>
  </si>
  <si>
    <t>FESTIVAL NOVUM 2015</t>
  </si>
  <si>
    <t>GAUDIR MES - 2015</t>
  </si>
  <si>
    <t>GLORIES 2015</t>
  </si>
  <si>
    <t>GOVERN OBERT 2015</t>
  </si>
  <si>
    <t>MARCA BCN TECNOLOGIA MOBILE INNOVACIO 2015</t>
  </si>
  <si>
    <t>MERCAT DE MERCATS 2015</t>
  </si>
  <si>
    <t>MONOGRAFICS SMART CITY 2015</t>
  </si>
  <si>
    <t>NOVA ESTRUCTURA WEB 2015</t>
  </si>
  <si>
    <t>NOVA WEB DE CIUTAT 2015</t>
  </si>
  <si>
    <t>PREMIS CONSELL MUNICIPAL BENESTAR SOCIAL 2015</t>
  </si>
  <si>
    <t>PREMIS GAUDI 2015</t>
  </si>
  <si>
    <t>PREMIS RICARTE 2015</t>
  </si>
  <si>
    <t>SALA CIUTAT - EXPOSICIONS 2015</t>
  </si>
  <si>
    <t>SANT JORDI 2015</t>
  </si>
  <si>
    <t>SUPORT ESDEVENIMENTS DE CIUTAT 1500</t>
  </si>
  <si>
    <t xml:space="preserve">VIOLENCIA DE GENERE 2015 </t>
  </si>
  <si>
    <t>WEB CULTURA POPULAR 2015</t>
  </si>
  <si>
    <t>XARXA BUSOS SMART CITY 2015</t>
  </si>
  <si>
    <t>COMERÇ</t>
  </si>
  <si>
    <t>COMERÇ PROXIMITAT</t>
  </si>
  <si>
    <t>FIRA CONSUM RESPONSABLE</t>
  </si>
  <si>
    <t>CAMPANYA NADAL</t>
  </si>
  <si>
    <t>ECOLOGIA URBANA</t>
  </si>
  <si>
    <t>SETMANA DE LA MOBILITAT</t>
  </si>
  <si>
    <t>DRETS SOCIALS</t>
  </si>
  <si>
    <t>VIOLENCIA DE GENERE 2015</t>
  </si>
  <si>
    <t>PREMI CONSELL MUNICIPAL BENESTAR SOCIAL</t>
  </si>
  <si>
    <t>PROT. I CONTROL ANIMALS</t>
  </si>
  <si>
    <t>PROTOCOL</t>
  </si>
  <si>
    <t>PORTES OBERTES STA. EULÀLIA, SANT JORDI i CORPUS CHRISTI</t>
  </si>
  <si>
    <t>PORTES OBERTES PALAUET ALBÈNIZ</t>
  </si>
  <si>
    <t>RELACIONS CIUTADANES</t>
  </si>
  <si>
    <t>FESTES SAN FROILÁN</t>
  </si>
  <si>
    <t>DISTRICTES</t>
  </si>
  <si>
    <t>DESPESA CREATIVITAT I PRODUCCIO DISTRICTES</t>
  </si>
  <si>
    <t>PREMSA LOCAL</t>
  </si>
  <si>
    <t>INTERNET  LOCAL</t>
  </si>
  <si>
    <t>RADIO LOCAL</t>
  </si>
  <si>
    <t>BARCELONA GESTIÓ URBANÍSTICA</t>
  </si>
  <si>
    <t>PROGRAMA CESSIÓ PISOS BUITS</t>
  </si>
  <si>
    <t>BARCELONA ACTIVA</t>
  </si>
  <si>
    <t>BONS COMPROMÍS 2ª FASE TV</t>
  </si>
  <si>
    <t>OBERT AL FUTUR 3ª FASE</t>
  </si>
  <si>
    <t>PARTICIPANT 100MIL CIBERNARIUM</t>
  </si>
  <si>
    <t>A VISTA D'HOTEL</t>
  </si>
  <si>
    <t>BARCELONA INTERNATIONAL COMMUNITY DAY (I AM BARCELONIAN)</t>
  </si>
  <si>
    <t>BARCELONA D'INFRAESTRUCTURES MUNICIPALS</t>
  </si>
  <si>
    <t>AFECTACIONS TRÀNSITS TÚNELS GLÒRIES</t>
  </si>
  <si>
    <t>INICI OBRES TRAVESSERA</t>
  </si>
  <si>
    <t>ITINERARI  VEHICLES TRAVESSERA</t>
  </si>
  <si>
    <t>INSTITUT BARCELONA ESPORTS</t>
  </si>
  <si>
    <t>CURSA DE LA MERCÈ 2015</t>
  </si>
  <si>
    <t>CURSA DELS NASSOS</t>
  </si>
  <si>
    <t>INSTITUT DE CULTURA DE BARCELONA</t>
  </si>
  <si>
    <t>INAUGURACIÓ MUSEU DE LES CULTURES DEL MÓN</t>
  </si>
  <si>
    <t>INSTITUT MUNICIPAL DE PARCS I JARDINS</t>
  </si>
  <si>
    <t>15è CONCURS INTERNACIONAL DE ROSES NOVES DE BARCELONA</t>
  </si>
  <si>
    <t>BSM - BARCELONA DE SERVEIS MUNICIPALS</t>
  </si>
  <si>
    <t>BSM - ANELLA OLÍMPICA</t>
  </si>
  <si>
    <t>25 ANYS PALAU SANT JORDI</t>
  </si>
  <si>
    <t>GENÈRICA PALAU SANT JORDI</t>
  </si>
  <si>
    <t>BSM - APARCAMENTS</t>
  </si>
  <si>
    <t>BSM-AREA</t>
  </si>
  <si>
    <t>APP AREADUM</t>
  </si>
  <si>
    <t>BSM - BICING</t>
  </si>
  <si>
    <t>BICING - CAMPANYA ON LINE</t>
  </si>
  <si>
    <t>BSM - PARC GÜELL</t>
  </si>
  <si>
    <t>CAMPANYA INFORMATIVA - TARGET TURISTA</t>
  </si>
  <si>
    <t>BSM - ZOO</t>
  </si>
  <si>
    <t>INICI TEMPORADA</t>
  </si>
  <si>
    <t>FI TEMPORADA</t>
  </si>
  <si>
    <t>BSM - PARC D'ATRACCIONS DEL TIBIDABO</t>
  </si>
  <si>
    <t>TIBIDABO OBERTURA 2015</t>
  </si>
  <si>
    <t>TIBIDABO ESTIU 2015</t>
  </si>
  <si>
    <t>FOMENT DE CIUTAT</t>
  </si>
  <si>
    <t>RAVAL CULTURAL</t>
  </si>
  <si>
    <t>DINAMITZACIÓ ESPAI PROVISIONAL GLÒRIES</t>
  </si>
  <si>
    <t>PLA DE BARRIS RAVAL SUD</t>
  </si>
  <si>
    <t>INSTITUT DE MERCATS DE BARCELONA</t>
  </si>
  <si>
    <t>CONGRÈS INTERNACIONAL DE MERCATS</t>
  </si>
  <si>
    <t>PREMI CIUTAT DE MERCATS</t>
  </si>
  <si>
    <t>MERCATS DE BARCELONA</t>
  </si>
  <si>
    <t>NOU MERCAT DEL NINOT</t>
  </si>
  <si>
    <t>PUBLIREPORTATGES OCTUBRE 2015</t>
  </si>
  <si>
    <t>CATALUNYA FRUITERS</t>
  </si>
  <si>
    <t>MERCABARNA</t>
  </si>
  <si>
    <t>CURSA MERCABARNA</t>
  </si>
  <si>
    <t>INFORMACIÓ GENERAL MERCABARNA</t>
  </si>
  <si>
    <t>FRUITES I HORTALISSES</t>
  </si>
  <si>
    <t>SECTOR DEL PEIX</t>
  </si>
  <si>
    <t>INSTITUT MUNICIPAL DEL PAISATGE URBÀ I LA QUALITAT DE VIDA</t>
  </si>
  <si>
    <t>PROMOCIÓ D'ESTIU RUTA DEL MODERNISME</t>
  </si>
  <si>
    <t xml:space="preserve">ESTALVI ENERGÈTIC  </t>
  </si>
  <si>
    <t>DIRECCIÓ DE COMUNICACIÓ</t>
  </si>
  <si>
    <t xml:space="preserve">ECONOMIA DE LES CURES </t>
  </si>
  <si>
    <t>DIFUSIÓ DELS DRETS DELS ANIMALS</t>
  </si>
  <si>
    <t>FERIA ABRIL 2015</t>
  </si>
  <si>
    <t>BALMES TRAVESSERA / DIAGONAL</t>
  </si>
  <si>
    <t>PAVIMENTACIÓ DIAGONAL FEBRER</t>
  </si>
  <si>
    <t xml:space="preserve">TALLS TRÀNSIT PONT SARAJEVO 19 JULIOL </t>
  </si>
  <si>
    <t>TALLS TRÀNSIT RONDA DALT 9 AGOST</t>
  </si>
  <si>
    <t xml:space="preserve">APARCAMENTS </t>
  </si>
  <si>
    <t>COMERÇ AL RAVAL</t>
  </si>
  <si>
    <t>BARCELONA GROWTH</t>
  </si>
  <si>
    <t>LLANÇAMENT OFICINA ATENCIÓ A L'EMPRESA</t>
  </si>
  <si>
    <t>FANS PALAU SANT JORDI</t>
  </si>
  <si>
    <t>ACTES ANELLA OLIMPICA</t>
  </si>
  <si>
    <t>1er TRIMESTRE</t>
  </si>
  <si>
    <t>2on TRIMESTRE</t>
  </si>
  <si>
    <t>3er TRIMESTRE</t>
  </si>
  <si>
    <t>4rt TRIMESTRE</t>
  </si>
  <si>
    <t>TROBADA ECONÒMICA SOLIDÀRIA DIGITAL</t>
  </si>
  <si>
    <t>ANUNCIS ADMINISTRATIUS INFORMACIO CIUTADA 2015</t>
  </si>
  <si>
    <t>PERCENTATGE</t>
  </si>
  <si>
    <t>FINANÇAMENT</t>
  </si>
  <si>
    <t>INSTITUT MUNICIPAL D'HISENDA</t>
  </si>
  <si>
    <t>INSTITUT MUNICIPAL SERVEIS SOCIALS</t>
  </si>
  <si>
    <t>PARTICIPACIÓ</t>
  </si>
  <si>
    <t xml:space="preserve">INAUGURACIÓ MUSEU DEL DISSENY </t>
  </si>
  <si>
    <t>MUSEUS I EQUIPAMENTS</t>
  </si>
  <si>
    <t>LES CULTURES SUMEN</t>
  </si>
  <si>
    <t>DIFUSIÓ NOU WEB PREMIUM</t>
  </si>
  <si>
    <t xml:space="preserve">ESQUELES INSTITUCIONALS </t>
  </si>
  <si>
    <t>ENCÉN EL NADAL</t>
  </si>
  <si>
    <t xml:space="preserve">ECOEMPRENADOR </t>
  </si>
  <si>
    <t>CAMPANYES PUBLICITARIES / ACCIONS DE COMUNICACIÓ</t>
  </si>
  <si>
    <t>DESPESA CREATIVITAT, PRODUCCIÓ I MITJANS 2015</t>
  </si>
  <si>
    <t>TOTAL CREATIVITAT I PRODUCCIO</t>
  </si>
  <si>
    <t>TOTAL DESPESA MITJANS</t>
  </si>
  <si>
    <t>DESGLOSSAMENT  PER MITJÀ</t>
  </si>
  <si>
    <t xml:space="preserve">GUIA DE SERVEIS I AJUTS 2015 </t>
  </si>
  <si>
    <t>TOTAL GENERAL</t>
  </si>
  <si>
    <t>CAMPANYA CENTRES CÍVICS</t>
  </si>
  <si>
    <t>CARTELLERES</t>
  </si>
  <si>
    <t>INFORMACIO ACTIVITATS ICUB</t>
  </si>
  <si>
    <t>CAMPANYA PRIMAVERA</t>
  </si>
  <si>
    <t xml:space="preserve">CAMPANYA ESTIU </t>
  </si>
  <si>
    <t xml:space="preserve">FIRA FRUIT ATRACTION </t>
  </si>
  <si>
    <t>CAMPANYA APPS4BCN 2015</t>
  </si>
  <si>
    <t>CAMPANYA PROTOTIPATGE 2015</t>
  </si>
  <si>
    <t>COMERÇ DE PROXIMITAT 2015</t>
  </si>
  <si>
    <t>LLANÇAMENT APLICACIO BCN QUIZ 2015</t>
  </si>
  <si>
    <t>MONOGRÀFIC "EL MIRADOR" 2015</t>
  </si>
  <si>
    <t>APPS TELEFONIA MÒBIL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</si>
</sst>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u val="singleAccounting"/>
      <sz val="11"/>
      <name val="Calibri"/>
      <family val="2"/>
    </font>
    <font>
      <b/>
      <sz val="20"/>
      <name val="Calibri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</font>
    <font>
      <i/>
      <sz val="11"/>
      <name val="Calibri"/>
      <family val="2"/>
    </font>
    <font>
      <sz val="16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CCC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44" fontId="6" fillId="0" borderId="0" xfId="1" applyFont="1" applyFill="1" applyBorder="1"/>
    <xf numFmtId="44" fontId="5" fillId="0" borderId="0" xfId="1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/>
    <xf numFmtId="164" fontId="5" fillId="2" borderId="9" xfId="0" applyNumberFormat="1" applyFont="1" applyFill="1" applyBorder="1"/>
    <xf numFmtId="164" fontId="5" fillId="0" borderId="0" xfId="0" applyNumberFormat="1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0" borderId="0" xfId="0" applyFont="1"/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10" fillId="8" borderId="0" xfId="1" applyFont="1" applyFill="1" applyBorder="1" applyAlignment="1">
      <alignment horizontal="center" vertical="center"/>
    </xf>
    <xf numFmtId="44" fontId="5" fillId="8" borderId="0" xfId="1" applyFont="1" applyFill="1" applyBorder="1"/>
    <xf numFmtId="44" fontId="10" fillId="10" borderId="0" xfId="1" applyFont="1" applyFill="1" applyBorder="1"/>
    <xf numFmtId="0" fontId="6" fillId="4" borderId="11" xfId="0" applyFont="1" applyFill="1" applyBorder="1"/>
    <xf numFmtId="0" fontId="7" fillId="5" borderId="11" xfId="0" applyFont="1" applyFill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44" fontId="5" fillId="8" borderId="6" xfId="1" applyFont="1" applyFill="1" applyBorder="1"/>
    <xf numFmtId="44" fontId="10" fillId="10" borderId="6" xfId="1" applyFont="1" applyFill="1" applyBorder="1"/>
    <xf numFmtId="164" fontId="5" fillId="3" borderId="6" xfId="0" applyNumberFormat="1" applyFont="1" applyFill="1" applyBorder="1"/>
    <xf numFmtId="44" fontId="5" fillId="12" borderId="6" xfId="1" applyFont="1" applyFill="1" applyBorder="1"/>
    <xf numFmtId="10" fontId="5" fillId="8" borderId="6" xfId="1" applyNumberFormat="1" applyFont="1" applyFill="1" applyBorder="1"/>
    <xf numFmtId="44" fontId="5" fillId="3" borderId="6" xfId="1" applyFont="1" applyFill="1" applyBorder="1"/>
    <xf numFmtId="164" fontId="5" fillId="12" borderId="6" xfId="0" applyNumberFormat="1" applyFont="1" applyFill="1" applyBorder="1"/>
    <xf numFmtId="164" fontId="4" fillId="6" borderId="6" xfId="0" applyNumberFormat="1" applyFont="1" applyFill="1" applyBorder="1"/>
    <xf numFmtId="164" fontId="4" fillId="12" borderId="6" xfId="0" applyNumberFormat="1" applyFont="1" applyFill="1" applyBorder="1"/>
    <xf numFmtId="164" fontId="6" fillId="6" borderId="6" xfId="0" applyNumberFormat="1" applyFont="1" applyFill="1" applyBorder="1"/>
    <xf numFmtId="164" fontId="6" fillId="12" borderId="6" xfId="0" applyNumberFormat="1" applyFont="1" applyFill="1" applyBorder="1"/>
    <xf numFmtId="0" fontId="6" fillId="6" borderId="6" xfId="0" applyFont="1" applyFill="1" applyBorder="1"/>
    <xf numFmtId="44" fontId="5" fillId="8" borderId="15" xfId="1" applyFont="1" applyFill="1" applyBorder="1"/>
    <xf numFmtId="44" fontId="10" fillId="10" borderId="15" xfId="1" applyFont="1" applyFill="1" applyBorder="1"/>
    <xf numFmtId="0" fontId="9" fillId="6" borderId="15" xfId="0" applyFont="1" applyFill="1" applyBorder="1"/>
    <xf numFmtId="164" fontId="9" fillId="12" borderId="15" xfId="0" applyNumberFormat="1" applyFont="1" applyFill="1" applyBorder="1"/>
    <xf numFmtId="164" fontId="5" fillId="8" borderId="9" xfId="0" applyNumberFormat="1" applyFont="1" applyFill="1" applyBorder="1"/>
    <xf numFmtId="44" fontId="10" fillId="10" borderId="9" xfId="1" applyFont="1" applyFill="1" applyBorder="1"/>
    <xf numFmtId="44" fontId="0" fillId="0" borderId="0" xfId="1" applyFont="1"/>
    <xf numFmtId="0" fontId="6" fillId="0" borderId="0" xfId="0" applyFont="1" applyFill="1" applyBorder="1" applyAlignment="1">
      <alignment horizontal="left" indent="1"/>
    </xf>
    <xf numFmtId="164" fontId="10" fillId="10" borderId="6" xfId="1" applyNumberFormat="1" applyFont="1" applyFill="1" applyBorder="1"/>
    <xf numFmtId="0" fontId="8" fillId="0" borderId="14" xfId="0" applyFont="1" applyFill="1" applyBorder="1" applyAlignment="1">
      <alignment horizontal="left"/>
    </xf>
    <xf numFmtId="10" fontId="5" fillId="8" borderId="15" xfId="1" applyNumberFormat="1" applyFont="1" applyFill="1" applyBorder="1"/>
    <xf numFmtId="0" fontId="6" fillId="6" borderId="15" xfId="0" applyFont="1" applyFill="1" applyBorder="1"/>
    <xf numFmtId="0" fontId="8" fillId="0" borderId="0" xfId="0" applyFont="1" applyFill="1"/>
    <xf numFmtId="0" fontId="12" fillId="0" borderId="0" xfId="0" applyFont="1" applyFill="1" applyBorder="1" applyAlignment="1">
      <alignment horizontal="left" indent="1"/>
    </xf>
    <xf numFmtId="10" fontId="5" fillId="0" borderId="0" xfId="1" applyNumberFormat="1" applyFont="1" applyFill="1" applyBorder="1"/>
    <xf numFmtId="44" fontId="10" fillId="0" borderId="0" xfId="1" applyFont="1" applyFill="1" applyBorder="1"/>
    <xf numFmtId="44" fontId="11" fillId="0" borderId="0" xfId="1" applyFont="1" applyFill="1" applyBorder="1"/>
    <xf numFmtId="44" fontId="10" fillId="13" borderId="10" xfId="1" applyFont="1" applyFill="1" applyBorder="1" applyAlignment="1">
      <alignment horizontal="center" vertical="center"/>
    </xf>
    <xf numFmtId="44" fontId="5" fillId="13" borderId="0" xfId="1" applyFont="1" applyFill="1" applyBorder="1"/>
    <xf numFmtId="44" fontId="5" fillId="13" borderId="6" xfId="1" applyFont="1" applyFill="1" applyBorder="1"/>
    <xf numFmtId="164" fontId="5" fillId="13" borderId="6" xfId="1" applyNumberFormat="1" applyFont="1" applyFill="1" applyBorder="1"/>
    <xf numFmtId="44" fontId="5" fillId="13" borderId="15" xfId="1" applyFont="1" applyFill="1" applyBorder="1"/>
    <xf numFmtId="164" fontId="10" fillId="13" borderId="10" xfId="0" applyNumberFormat="1" applyFont="1" applyFill="1" applyBorder="1"/>
    <xf numFmtId="10" fontId="10" fillId="13" borderId="17" xfId="1" applyNumberFormat="1" applyFont="1" applyFill="1" applyBorder="1"/>
    <xf numFmtId="164" fontId="5" fillId="3" borderId="7" xfId="0" applyNumberFormat="1" applyFont="1" applyFill="1" applyBorder="1"/>
    <xf numFmtId="44" fontId="5" fillId="12" borderId="7" xfId="1" applyFont="1" applyFill="1" applyBorder="1"/>
    <xf numFmtId="44" fontId="5" fillId="3" borderId="4" xfId="1" applyFont="1" applyFill="1" applyBorder="1"/>
    <xf numFmtId="44" fontId="5" fillId="12" borderId="5" xfId="1" applyFont="1" applyFill="1" applyBorder="1"/>
    <xf numFmtId="44" fontId="10" fillId="11" borderId="1" xfId="1" applyFont="1" applyFill="1" applyBorder="1" applyAlignment="1">
      <alignment horizontal="center" wrapText="1"/>
    </xf>
    <xf numFmtId="44" fontId="10" fillId="9" borderId="2" xfId="1" applyFont="1" applyFill="1" applyBorder="1" applyAlignment="1">
      <alignment horizontal="center" wrapText="1"/>
    </xf>
    <xf numFmtId="0" fontId="15" fillId="7" borderId="0" xfId="0" applyFont="1" applyFill="1" applyBorder="1" applyAlignment="1">
      <alignment horizontal="left" indent="3"/>
    </xf>
    <xf numFmtId="0" fontId="8" fillId="0" borderId="12" xfId="0" applyFont="1" applyFill="1" applyBorder="1" applyAlignment="1">
      <alignment horizontal="left"/>
    </xf>
    <xf numFmtId="44" fontId="8" fillId="0" borderId="0" xfId="1" applyFont="1"/>
    <xf numFmtId="0" fontId="14" fillId="14" borderId="8" xfId="0" applyFont="1" applyFill="1" applyBorder="1" applyAlignment="1">
      <alignment horizontal="right"/>
    </xf>
    <xf numFmtId="44" fontId="12" fillId="0" borderId="0" xfId="1" applyFont="1" applyFill="1" applyBorder="1" applyAlignment="1">
      <alignment horizontal="center"/>
    </xf>
    <xf numFmtId="44" fontId="10" fillId="10" borderId="21" xfId="1" applyFont="1" applyFill="1" applyBorder="1"/>
    <xf numFmtId="44" fontId="5" fillId="13" borderId="22" xfId="1" applyFont="1" applyFill="1" applyBorder="1"/>
    <xf numFmtId="44" fontId="5" fillId="13" borderId="23" xfId="1" applyFont="1" applyFill="1" applyBorder="1"/>
    <xf numFmtId="0" fontId="16" fillId="0" borderId="1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44" fontId="10" fillId="12" borderId="1" xfId="1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2" borderId="18" xfId="0" applyFont="1" applyFill="1" applyBorder="1" applyAlignment="1">
      <alignment horizontal="center"/>
    </xf>
    <xf numFmtId="10" fontId="10" fillId="13" borderId="8" xfId="1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6" xfId="0" applyBorder="1" applyAlignment="1"/>
    <xf numFmtId="44" fontId="10" fillId="14" borderId="8" xfId="1" applyFont="1" applyFill="1" applyBorder="1" applyAlignment="1">
      <alignment horizontal="center"/>
    </xf>
    <xf numFmtId="0" fontId="13" fillId="14" borderId="9" xfId="0" applyFont="1" applyFill="1" applyBorder="1" applyAlignment="1">
      <alignment horizontal="center"/>
    </xf>
    <xf numFmtId="0" fontId="13" fillId="14" borderId="16" xfId="0" applyFont="1" applyFill="1" applyBorder="1" applyAlignment="1">
      <alignment horizontal="center"/>
    </xf>
    <xf numFmtId="44" fontId="5" fillId="12" borderId="4" xfId="1" applyFont="1" applyFill="1" applyBorder="1" applyAlignment="1">
      <alignment horizontal="center"/>
    </xf>
    <xf numFmtId="44" fontId="5" fillId="12" borderId="5" xfId="1" applyFont="1" applyFill="1" applyBorder="1" applyAlignment="1">
      <alignment horizontal="center"/>
    </xf>
    <xf numFmtId="44" fontId="5" fillId="12" borderId="19" xfId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44" fontId="5" fillId="0" borderId="7" xfId="1" applyFont="1" applyFill="1" applyBorder="1" applyAlignment="1">
      <alignment horizontal="center"/>
    </xf>
    <xf numFmtId="44" fontId="5" fillId="0" borderId="6" xfId="1" applyFont="1" applyFill="1" applyBorder="1" applyAlignment="1">
      <alignment horizontal="center"/>
    </xf>
    <xf numFmtId="44" fontId="0" fillId="0" borderId="6" xfId="1" applyFont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8"/>
  <sheetViews>
    <sheetView tabSelected="1" zoomScale="80" zoomScaleNormal="80" workbookViewId="0">
      <selection activeCell="O8" sqref="O8"/>
    </sheetView>
  </sheetViews>
  <sheetFormatPr defaultColWidth="11.44140625" defaultRowHeight="14.4" x14ac:dyDescent="0.3"/>
  <cols>
    <col min="1" max="1" width="58.5546875" style="3" customWidth="1"/>
    <col min="2" max="2" width="15.5546875" style="4" bestFit="1" customWidth="1"/>
    <col min="3" max="3" width="16" style="4" bestFit="1" customWidth="1"/>
    <col min="4" max="4" width="15.5546875" style="4" bestFit="1" customWidth="1"/>
    <col min="5" max="5" width="15.109375" style="4" bestFit="1" customWidth="1"/>
    <col min="6" max="6" width="19" style="4" customWidth="1"/>
    <col min="7" max="7" width="2.88671875" style="4" customWidth="1"/>
    <col min="8" max="8" width="20.44140625" style="4" customWidth="1"/>
    <col min="9" max="9" width="15.6640625" style="4" bestFit="1" customWidth="1"/>
    <col min="10" max="10" width="24.21875" style="4" customWidth="1"/>
    <col min="11" max="11" width="16.5546875" style="4" customWidth="1"/>
    <col min="12" max="12" width="17" style="4" customWidth="1"/>
    <col min="13" max="13" width="18.77734375" style="4" customWidth="1"/>
    <col min="14" max="14" width="26.21875" style="4" customWidth="1"/>
    <col min="15" max="15" width="20.33203125" style="4" customWidth="1"/>
    <col min="16" max="16" width="24.77734375" style="4" customWidth="1"/>
    <col min="17" max="17" width="23.33203125" style="4" customWidth="1"/>
    <col min="18" max="18" width="20.5546875" style="4" customWidth="1"/>
    <col min="19" max="20" width="11.44140625" style="4"/>
    <col min="21" max="21" width="22.21875" style="4" bestFit="1" customWidth="1"/>
    <col min="22" max="22" width="15.6640625" style="4" bestFit="1" customWidth="1"/>
    <col min="23" max="23" width="15.109375" style="4" bestFit="1" customWidth="1"/>
    <col min="24" max="24" width="14.77734375" style="4" bestFit="1" customWidth="1"/>
    <col min="25" max="16384" width="11.44140625" style="4"/>
  </cols>
  <sheetData>
    <row r="1" spans="1:22" ht="15" thickBot="1" x14ac:dyDescent="0.35"/>
    <row r="2" spans="1:22" s="2" customFormat="1" ht="21" x14ac:dyDescent="0.4">
      <c r="A2" s="73" t="s">
        <v>158</v>
      </c>
      <c r="B2" s="74"/>
      <c r="C2" s="14"/>
      <c r="D2" s="14"/>
      <c r="E2" s="14"/>
      <c r="F2" s="14"/>
      <c r="G2" s="15"/>
      <c r="H2" s="1"/>
    </row>
    <row r="3" spans="1:22" s="2" customFormat="1" ht="21" x14ac:dyDescent="0.4">
      <c r="A3" s="75" t="s">
        <v>0</v>
      </c>
      <c r="B3" s="76"/>
      <c r="C3" s="14"/>
      <c r="D3" s="14"/>
      <c r="E3" s="14"/>
      <c r="F3" s="14"/>
      <c r="G3" s="15"/>
      <c r="H3" s="1"/>
    </row>
    <row r="4" spans="1:22" s="2" customFormat="1" ht="21.6" thickBot="1" x14ac:dyDescent="0.45">
      <c r="A4" s="77">
        <v>2015</v>
      </c>
      <c r="B4" s="78"/>
      <c r="C4" s="14"/>
      <c r="D4" s="14"/>
      <c r="E4" s="14"/>
      <c r="F4" s="14"/>
      <c r="G4" s="15"/>
      <c r="H4" s="1"/>
    </row>
    <row r="6" spans="1:22" ht="25.8" x14ac:dyDescent="0.5">
      <c r="A6" s="48"/>
      <c r="F6" s="50"/>
      <c r="G6" s="49"/>
    </row>
    <row r="7" spans="1:22" ht="16.8" thickBot="1" x14ac:dyDescent="0.5">
      <c r="A7" s="51"/>
    </row>
    <row r="8" spans="1:22" ht="15" thickBot="1" x14ac:dyDescent="0.35">
      <c r="B8" s="85" t="s">
        <v>159</v>
      </c>
      <c r="C8" s="86"/>
      <c r="D8" s="86"/>
      <c r="E8" s="87"/>
    </row>
    <row r="9" spans="1:22" ht="31.8" thickBot="1" x14ac:dyDescent="0.55000000000000004">
      <c r="A9" s="69" t="s">
        <v>1</v>
      </c>
      <c r="B9" s="52" t="s">
        <v>140</v>
      </c>
      <c r="C9" s="52" t="s">
        <v>141</v>
      </c>
      <c r="D9" s="52" t="s">
        <v>142</v>
      </c>
      <c r="E9" s="52" t="s">
        <v>143</v>
      </c>
      <c r="F9" s="70" t="s">
        <v>2</v>
      </c>
      <c r="G9" s="16"/>
      <c r="H9" s="63" t="s">
        <v>160</v>
      </c>
      <c r="I9" s="64" t="s">
        <v>161</v>
      </c>
      <c r="J9" s="79" t="s">
        <v>162</v>
      </c>
      <c r="K9" s="80"/>
      <c r="L9" s="80"/>
      <c r="M9" s="80"/>
      <c r="N9" s="80"/>
      <c r="O9" s="80"/>
      <c r="P9" s="80"/>
      <c r="Q9" s="80"/>
      <c r="R9" s="81"/>
    </row>
    <row r="10" spans="1:22" ht="15" thickBot="1" x14ac:dyDescent="0.35">
      <c r="B10" s="71"/>
      <c r="C10" s="53"/>
      <c r="D10" s="53"/>
      <c r="E10" s="72"/>
      <c r="F10" s="18"/>
      <c r="G10" s="17"/>
      <c r="H10" s="61"/>
      <c r="I10" s="62"/>
      <c r="J10" s="88" t="s">
        <v>3</v>
      </c>
      <c r="K10" s="89" t="s">
        <v>4</v>
      </c>
      <c r="L10" s="89" t="s">
        <v>5</v>
      </c>
      <c r="M10" s="89" t="s">
        <v>6</v>
      </c>
      <c r="N10" s="89" t="s">
        <v>176</v>
      </c>
      <c r="O10" s="89" t="s">
        <v>7</v>
      </c>
      <c r="P10" s="89" t="s">
        <v>8</v>
      </c>
      <c r="Q10" s="89" t="s">
        <v>9</v>
      </c>
      <c r="R10" s="90" t="s">
        <v>10</v>
      </c>
    </row>
    <row r="11" spans="1:22" s="6" customFormat="1" x14ac:dyDescent="0.3">
      <c r="A11" s="19" t="s">
        <v>126</v>
      </c>
      <c r="B11" s="54"/>
      <c r="C11" s="54"/>
      <c r="D11" s="54"/>
      <c r="E11" s="54"/>
      <c r="F11" s="24"/>
      <c r="G11" s="23"/>
      <c r="H11" s="59"/>
      <c r="I11" s="60"/>
      <c r="J11" s="91"/>
      <c r="K11" s="91"/>
      <c r="L11" s="91"/>
      <c r="M11" s="92"/>
      <c r="N11" s="91"/>
      <c r="O11" s="91"/>
      <c r="P11" s="91"/>
      <c r="Q11" s="91"/>
      <c r="R11" s="91"/>
      <c r="T11" s="4"/>
      <c r="U11" s="4"/>
      <c r="V11" s="4"/>
    </row>
    <row r="12" spans="1:22" x14ac:dyDescent="0.3">
      <c r="A12" s="3" t="s">
        <v>11</v>
      </c>
      <c r="B12" s="54">
        <f>80070.52+907.5</f>
        <v>80978.02</v>
      </c>
      <c r="C12" s="54"/>
      <c r="D12" s="54"/>
      <c r="E12" s="54"/>
      <c r="F12" s="24">
        <f>H12+I12</f>
        <v>80978.02</v>
      </c>
      <c r="G12" s="27"/>
      <c r="H12" s="28">
        <v>907.5</v>
      </c>
      <c r="I12" s="26">
        <f>SUM(J12:R12)</f>
        <v>80070.52</v>
      </c>
      <c r="J12" s="93"/>
      <c r="K12" s="93"/>
      <c r="L12" s="93"/>
      <c r="M12" s="93">
        <v>80070.52</v>
      </c>
      <c r="N12" s="93"/>
      <c r="O12" s="93"/>
      <c r="P12" s="93"/>
      <c r="Q12" s="93"/>
      <c r="R12" s="93"/>
    </row>
    <row r="13" spans="1:22" s="41" customFormat="1" x14ac:dyDescent="0.3">
      <c r="A13" s="67" t="s">
        <v>145</v>
      </c>
      <c r="B13" s="54">
        <v>1728.04</v>
      </c>
      <c r="C13" s="54"/>
      <c r="D13" s="54"/>
      <c r="E13" s="54">
        <v>4281.6099999999997</v>
      </c>
      <c r="F13" s="24">
        <v>6009.65</v>
      </c>
      <c r="G13" s="27"/>
      <c r="H13" s="28"/>
      <c r="I13" s="26">
        <f t="shared" ref="I13:I14" si="0">SUM(J13:R13)</f>
        <v>6009.65</v>
      </c>
      <c r="J13" s="94"/>
      <c r="K13" s="94"/>
      <c r="L13" s="94"/>
      <c r="M13" s="94">
        <v>6009.65</v>
      </c>
      <c r="N13" s="94"/>
      <c r="O13" s="94"/>
      <c r="P13" s="94"/>
      <c r="Q13" s="94"/>
      <c r="R13" s="94"/>
      <c r="T13" s="4"/>
      <c r="U13" s="4"/>
      <c r="V13" s="4"/>
    </row>
    <row r="14" spans="1:22" x14ac:dyDescent="0.3">
      <c r="A14" s="3" t="s">
        <v>12</v>
      </c>
      <c r="B14" s="54">
        <f>121472.46+271.52</f>
        <v>121743.98000000001</v>
      </c>
      <c r="C14" s="54">
        <v>55240.18</v>
      </c>
      <c r="D14" s="54">
        <v>4389</v>
      </c>
      <c r="E14" s="54">
        <v>15715.75</v>
      </c>
      <c r="F14" s="24">
        <f t="shared" ref="F14:F16" si="1">H14+I14</f>
        <v>197088.90999999995</v>
      </c>
      <c r="G14" s="27"/>
      <c r="H14" s="28">
        <v>271.52</v>
      </c>
      <c r="I14" s="26">
        <f t="shared" si="0"/>
        <v>196817.38999999996</v>
      </c>
      <c r="J14" s="93"/>
      <c r="K14" s="93">
        <v>18264.469999999998</v>
      </c>
      <c r="L14" s="93">
        <v>17556.02</v>
      </c>
      <c r="M14" s="93">
        <v>160996.89999999997</v>
      </c>
      <c r="N14" s="93"/>
      <c r="O14" s="93"/>
      <c r="P14" s="93"/>
      <c r="Q14" s="93"/>
      <c r="R14" s="93"/>
    </row>
    <row r="15" spans="1:22" x14ac:dyDescent="0.3">
      <c r="A15" s="3" t="s">
        <v>13</v>
      </c>
      <c r="B15" s="54">
        <f>73444.58+880.88</f>
        <v>74325.460000000006</v>
      </c>
      <c r="C15" s="54"/>
      <c r="D15" s="54"/>
      <c r="E15" s="54"/>
      <c r="F15" s="24">
        <f t="shared" si="1"/>
        <v>74325.460000000006</v>
      </c>
      <c r="G15" s="27"/>
      <c r="H15" s="28">
        <v>880.88</v>
      </c>
      <c r="I15" s="26">
        <f t="shared" ref="I15:I74" si="2">SUM(J15:R15)</f>
        <v>73444.58</v>
      </c>
      <c r="J15" s="93"/>
      <c r="K15" s="93">
        <v>73444.58</v>
      </c>
      <c r="L15" s="93"/>
      <c r="M15" s="93"/>
      <c r="N15" s="93"/>
      <c r="O15" s="93"/>
      <c r="P15" s="93"/>
      <c r="Q15" s="93"/>
      <c r="R15" s="93"/>
    </row>
    <row r="16" spans="1:22" x14ac:dyDescent="0.3">
      <c r="A16" s="3" t="s">
        <v>14</v>
      </c>
      <c r="B16" s="54">
        <f>12334.17+3823.96</f>
        <v>16158.130000000001</v>
      </c>
      <c r="C16" s="54">
        <v>1691.39</v>
      </c>
      <c r="D16" s="54">
        <v>1724.25</v>
      </c>
      <c r="E16" s="54">
        <v>574.75</v>
      </c>
      <c r="F16" s="24">
        <f t="shared" si="1"/>
        <v>20148.52</v>
      </c>
      <c r="G16" s="27"/>
      <c r="H16" s="28">
        <v>3823.96</v>
      </c>
      <c r="I16" s="26">
        <f t="shared" si="2"/>
        <v>16324.560000000001</v>
      </c>
      <c r="J16" s="93"/>
      <c r="K16" s="93">
        <v>11726.560000000001</v>
      </c>
      <c r="L16" s="93">
        <v>4598</v>
      </c>
      <c r="M16" s="93"/>
      <c r="N16" s="93"/>
      <c r="O16" s="93"/>
      <c r="P16" s="93"/>
      <c r="Q16" s="93"/>
      <c r="R16" s="93"/>
    </row>
    <row r="17" spans="1:18" x14ac:dyDescent="0.3">
      <c r="A17" s="3" t="s">
        <v>171</v>
      </c>
      <c r="B17" s="54">
        <f>105913.2+9868.65</f>
        <v>115781.84999999999</v>
      </c>
      <c r="C17" s="54"/>
      <c r="D17" s="54"/>
      <c r="E17" s="54"/>
      <c r="F17" s="24">
        <f t="shared" ref="F17:F58" si="3">H17+I17</f>
        <v>115781.84999999998</v>
      </c>
      <c r="G17" s="27"/>
      <c r="H17" s="28">
        <f>5330.05+4538.6</f>
        <v>9868.6500000000015</v>
      </c>
      <c r="I17" s="26">
        <f t="shared" si="2"/>
        <v>105913.19999999998</v>
      </c>
      <c r="J17" s="93">
        <v>57147.26999999999</v>
      </c>
      <c r="K17" s="93">
        <v>1636.0500000000002</v>
      </c>
      <c r="L17" s="93">
        <v>18919.84</v>
      </c>
      <c r="M17" s="93">
        <v>4298</v>
      </c>
      <c r="N17" s="93"/>
      <c r="O17" s="93"/>
      <c r="P17" s="93">
        <v>23912.04</v>
      </c>
      <c r="Q17" s="93"/>
      <c r="R17" s="93"/>
    </row>
    <row r="18" spans="1:18" x14ac:dyDescent="0.3">
      <c r="A18" s="3" t="s">
        <v>15</v>
      </c>
      <c r="B18" s="54"/>
      <c r="C18" s="54">
        <v>106412.79</v>
      </c>
      <c r="D18" s="54">
        <v>43560.29</v>
      </c>
      <c r="E18" s="54"/>
      <c r="F18" s="24">
        <f t="shared" si="3"/>
        <v>149973.08000000002</v>
      </c>
      <c r="G18" s="27"/>
      <c r="H18" s="28"/>
      <c r="I18" s="26">
        <f t="shared" si="2"/>
        <v>149973.08000000002</v>
      </c>
      <c r="J18" s="93">
        <v>51325.43</v>
      </c>
      <c r="K18" s="93">
        <v>6124.0999999999995</v>
      </c>
      <c r="L18" s="93">
        <v>18397.41</v>
      </c>
      <c r="M18" s="93">
        <v>74126.14</v>
      </c>
      <c r="N18" s="93"/>
      <c r="O18" s="93"/>
      <c r="P18" s="93"/>
      <c r="Q18" s="93"/>
      <c r="R18" s="93"/>
    </row>
    <row r="19" spans="1:18" x14ac:dyDescent="0.3">
      <c r="A19" s="3" t="s">
        <v>16</v>
      </c>
      <c r="B19" s="54"/>
      <c r="C19" s="54"/>
      <c r="D19" s="54"/>
      <c r="E19" s="54">
        <f>1906.11+2539.7</f>
        <v>4445.8099999999995</v>
      </c>
      <c r="F19" s="24">
        <f t="shared" si="3"/>
        <v>4445.8099999999995</v>
      </c>
      <c r="G19" s="27"/>
      <c r="H19" s="28">
        <v>2539.6999999999998</v>
      </c>
      <c r="I19" s="26">
        <f t="shared" si="2"/>
        <v>1906.11</v>
      </c>
      <c r="J19" s="93"/>
      <c r="K19" s="93"/>
      <c r="L19" s="93"/>
      <c r="M19" s="93">
        <v>1906.11</v>
      </c>
      <c r="N19" s="93"/>
      <c r="O19" s="93"/>
      <c r="P19" s="93"/>
      <c r="Q19" s="93"/>
      <c r="R19" s="93"/>
    </row>
    <row r="20" spans="1:18" x14ac:dyDescent="0.3">
      <c r="A20" s="3" t="s">
        <v>17</v>
      </c>
      <c r="B20" s="54">
        <f>75649.27+8471.1</f>
        <v>84120.37000000001</v>
      </c>
      <c r="C20" s="54"/>
      <c r="D20" s="54"/>
      <c r="E20" s="54"/>
      <c r="F20" s="24">
        <f t="shared" si="3"/>
        <v>84120.37000000001</v>
      </c>
      <c r="G20" s="27"/>
      <c r="H20" s="28">
        <f>3932.5+4538.6</f>
        <v>8471.1</v>
      </c>
      <c r="I20" s="26">
        <f t="shared" si="2"/>
        <v>75649.27</v>
      </c>
      <c r="J20" s="93">
        <v>11878.06</v>
      </c>
      <c r="K20" s="93"/>
      <c r="L20" s="93">
        <v>15841.390000000001</v>
      </c>
      <c r="M20" s="93">
        <v>12833.730000000001</v>
      </c>
      <c r="N20" s="93"/>
      <c r="O20" s="93"/>
      <c r="P20" s="93">
        <v>35096.090000000004</v>
      </c>
      <c r="Q20" s="93"/>
      <c r="R20" s="93"/>
    </row>
    <row r="21" spans="1:18" x14ac:dyDescent="0.3">
      <c r="A21" s="3" t="s">
        <v>172</v>
      </c>
      <c r="B21" s="54">
        <f>416767.66+5001.7+90864.95</f>
        <v>512634.31</v>
      </c>
      <c r="C21" s="54">
        <f>106467.9+5001.7+157.3</f>
        <v>111626.9</v>
      </c>
      <c r="D21" s="54"/>
      <c r="E21" s="54"/>
      <c r="F21" s="24">
        <f t="shared" si="3"/>
        <v>624261.21</v>
      </c>
      <c r="G21" s="27"/>
      <c r="H21" s="28">
        <f>21610.6+69411.65</f>
        <v>91022.25</v>
      </c>
      <c r="I21" s="26">
        <f t="shared" si="2"/>
        <v>533238.96</v>
      </c>
      <c r="J21" s="93"/>
      <c r="K21" s="93">
        <v>146053.00999999998</v>
      </c>
      <c r="L21" s="93">
        <v>109880.65000000001</v>
      </c>
      <c r="M21" s="93">
        <v>255442.51999999996</v>
      </c>
      <c r="N21" s="93">
        <v>2954.11</v>
      </c>
      <c r="O21" s="93">
        <v>18908.669999999998</v>
      </c>
      <c r="P21" s="93"/>
      <c r="Q21" s="93"/>
      <c r="R21" s="93"/>
    </row>
    <row r="22" spans="1:18" x14ac:dyDescent="0.3">
      <c r="A22" s="3" t="s">
        <v>18</v>
      </c>
      <c r="B22" s="54">
        <f>79491.72+4116.42+5890.57</f>
        <v>89498.709999999992</v>
      </c>
      <c r="C22" s="54"/>
      <c r="D22" s="54"/>
      <c r="E22" s="54"/>
      <c r="F22" s="24">
        <f t="shared" si="3"/>
        <v>89498.71</v>
      </c>
      <c r="G22" s="27"/>
      <c r="H22" s="28">
        <f>3932.5+6074.49</f>
        <v>10006.99</v>
      </c>
      <c r="I22" s="26">
        <f t="shared" si="2"/>
        <v>79491.72</v>
      </c>
      <c r="J22" s="93">
        <v>13504.200000000003</v>
      </c>
      <c r="K22" s="93">
        <v>2037.2099999999996</v>
      </c>
      <c r="L22" s="93">
        <v>8199.1099999999988</v>
      </c>
      <c r="M22" s="93">
        <v>14735.439999999999</v>
      </c>
      <c r="N22" s="93"/>
      <c r="O22" s="93">
        <v>914.76</v>
      </c>
      <c r="P22" s="93">
        <v>40101</v>
      </c>
      <c r="Q22" s="93"/>
      <c r="R22" s="93"/>
    </row>
    <row r="23" spans="1:18" x14ac:dyDescent="0.3">
      <c r="A23" s="3" t="s">
        <v>19</v>
      </c>
      <c r="B23" s="54"/>
      <c r="C23" s="54"/>
      <c r="D23" s="54"/>
      <c r="E23" s="54">
        <f>256278.8+4205.19</f>
        <v>260483.99</v>
      </c>
      <c r="F23" s="24">
        <f t="shared" si="3"/>
        <v>260483.99</v>
      </c>
      <c r="G23" s="27"/>
      <c r="H23" s="28">
        <v>4205.1899999999996</v>
      </c>
      <c r="I23" s="26">
        <f t="shared" si="2"/>
        <v>256278.8</v>
      </c>
      <c r="J23" s="93">
        <v>5760.04</v>
      </c>
      <c r="K23" s="93"/>
      <c r="L23" s="93">
        <v>49440.060000000005</v>
      </c>
      <c r="M23" s="93">
        <v>96837.819999999992</v>
      </c>
      <c r="N23" s="93"/>
      <c r="O23" s="93">
        <v>50304.72</v>
      </c>
      <c r="P23" s="93">
        <v>53936.160000000003</v>
      </c>
      <c r="Q23" s="93"/>
      <c r="R23" s="93"/>
    </row>
    <row r="24" spans="1:18" x14ac:dyDescent="0.3">
      <c r="A24" s="3" t="s">
        <v>20</v>
      </c>
      <c r="B24" s="54"/>
      <c r="C24" s="54"/>
      <c r="D24" s="54"/>
      <c r="E24" s="54">
        <f>21393.15+4290.2</f>
        <v>25683.350000000002</v>
      </c>
      <c r="F24" s="24">
        <f t="shared" si="3"/>
        <v>25683.350000000002</v>
      </c>
      <c r="G24" s="27"/>
      <c r="H24" s="28">
        <f>605+3685.2</f>
        <v>4290.2</v>
      </c>
      <c r="I24" s="26">
        <f t="shared" si="2"/>
        <v>21393.15</v>
      </c>
      <c r="J24" s="93"/>
      <c r="K24" s="93"/>
      <c r="L24" s="93">
        <v>7303.26</v>
      </c>
      <c r="M24" s="93">
        <v>14089.89</v>
      </c>
      <c r="N24" s="93"/>
      <c r="O24" s="93"/>
      <c r="P24" s="93"/>
      <c r="Q24" s="93"/>
      <c r="R24" s="93"/>
    </row>
    <row r="25" spans="1:18" x14ac:dyDescent="0.3">
      <c r="A25" s="3" t="s">
        <v>21</v>
      </c>
      <c r="B25" s="54"/>
      <c r="C25" s="54">
        <v>7245.72</v>
      </c>
      <c r="D25" s="54">
        <f>189562.28+11797.5</f>
        <v>201359.78</v>
      </c>
      <c r="E25" s="54"/>
      <c r="F25" s="24">
        <f t="shared" si="3"/>
        <v>208605.49999999994</v>
      </c>
      <c r="G25" s="27"/>
      <c r="H25" s="28">
        <f>11797.5+7245.72</f>
        <v>19043.22</v>
      </c>
      <c r="I25" s="26">
        <f t="shared" si="2"/>
        <v>189562.27999999994</v>
      </c>
      <c r="J25" s="93">
        <v>54081.7</v>
      </c>
      <c r="K25" s="93">
        <v>1815</v>
      </c>
      <c r="L25" s="93">
        <v>37231.78</v>
      </c>
      <c r="M25" s="93">
        <v>80008.039999999979</v>
      </c>
      <c r="N25" s="93"/>
      <c r="O25" s="93">
        <v>15264.15</v>
      </c>
      <c r="P25" s="93">
        <v>1161.6099999999999</v>
      </c>
      <c r="Q25" s="93"/>
      <c r="R25" s="93"/>
    </row>
    <row r="26" spans="1:18" x14ac:dyDescent="0.3">
      <c r="A26" s="3" t="s">
        <v>173</v>
      </c>
      <c r="B26" s="54"/>
      <c r="C26" s="54"/>
      <c r="D26" s="54"/>
      <c r="E26" s="54">
        <v>97940.72</v>
      </c>
      <c r="F26" s="24">
        <f t="shared" si="3"/>
        <v>97940.72</v>
      </c>
      <c r="G26" s="27"/>
      <c r="H26" s="28"/>
      <c r="I26" s="26">
        <f t="shared" si="2"/>
        <v>97940.72</v>
      </c>
      <c r="J26" s="93"/>
      <c r="K26" s="93"/>
      <c r="L26" s="93"/>
      <c r="M26" s="93">
        <v>97940.72</v>
      </c>
      <c r="N26" s="93"/>
      <c r="O26" s="93"/>
      <c r="P26" s="93"/>
      <c r="Q26" s="93"/>
      <c r="R26" s="93"/>
    </row>
    <row r="27" spans="1:18" x14ac:dyDescent="0.3">
      <c r="A27" s="3" t="s">
        <v>31</v>
      </c>
      <c r="B27" s="54"/>
      <c r="C27" s="54">
        <f>13983.79+22689.48</f>
        <v>36673.270000000004</v>
      </c>
      <c r="D27" s="54">
        <f>453885.8+4996.8+22064.2+4140</f>
        <v>485086.8</v>
      </c>
      <c r="E27" s="54"/>
      <c r="F27" s="24">
        <f t="shared" si="3"/>
        <v>521760.07</v>
      </c>
      <c r="G27" s="27"/>
      <c r="H27" s="28">
        <f>21767.9+27125.78</f>
        <v>48893.68</v>
      </c>
      <c r="I27" s="26">
        <f t="shared" si="2"/>
        <v>472866.39</v>
      </c>
      <c r="J27" s="93">
        <v>99987.750000000029</v>
      </c>
      <c r="K27" s="93">
        <v>22177.55</v>
      </c>
      <c r="L27" s="93">
        <v>82517.300000000017</v>
      </c>
      <c r="M27" s="93">
        <v>97470.799999999988</v>
      </c>
      <c r="N27" s="93"/>
      <c r="O27" s="93">
        <v>79115.990000000005</v>
      </c>
      <c r="P27" s="93"/>
      <c r="Q27" s="93"/>
      <c r="R27" s="93">
        <v>91597</v>
      </c>
    </row>
    <row r="28" spans="1:18" x14ac:dyDescent="0.3">
      <c r="A28" s="3" t="s">
        <v>32</v>
      </c>
      <c r="B28" s="54"/>
      <c r="C28" s="54"/>
      <c r="D28" s="54"/>
      <c r="E28" s="54">
        <v>189875.23</v>
      </c>
      <c r="F28" s="24">
        <f t="shared" si="3"/>
        <v>189875.23</v>
      </c>
      <c r="G28" s="27"/>
      <c r="H28" s="28"/>
      <c r="I28" s="26">
        <f t="shared" si="2"/>
        <v>189875.23</v>
      </c>
      <c r="J28" s="93"/>
      <c r="K28" s="93"/>
      <c r="L28" s="93"/>
      <c r="M28" s="93"/>
      <c r="N28" s="93"/>
      <c r="O28" s="93"/>
      <c r="P28" s="93">
        <v>189875.23</v>
      </c>
      <c r="Q28" s="93"/>
      <c r="R28" s="93"/>
    </row>
    <row r="29" spans="1:18" x14ac:dyDescent="0.3">
      <c r="A29" s="3" t="s">
        <v>33</v>
      </c>
      <c r="B29" s="54"/>
      <c r="C29" s="54">
        <v>49743.69</v>
      </c>
      <c r="D29" s="54"/>
      <c r="E29" s="54"/>
      <c r="F29" s="24">
        <f t="shared" si="3"/>
        <v>49743.69</v>
      </c>
      <c r="G29" s="27"/>
      <c r="H29" s="28"/>
      <c r="I29" s="26">
        <f t="shared" si="2"/>
        <v>49743.69</v>
      </c>
      <c r="J29" s="93"/>
      <c r="K29" s="93">
        <v>853.35</v>
      </c>
      <c r="L29" s="93">
        <v>21673.58</v>
      </c>
      <c r="M29" s="93">
        <v>24040.410000000003</v>
      </c>
      <c r="N29" s="93">
        <v>3176.35</v>
      </c>
      <c r="O29" s="93"/>
      <c r="P29" s="93"/>
      <c r="Q29" s="93"/>
      <c r="R29" s="93"/>
    </row>
    <row r="30" spans="1:18" x14ac:dyDescent="0.3">
      <c r="A30" s="3" t="s">
        <v>34</v>
      </c>
      <c r="B30" s="54">
        <f>653199.36+45901.71</f>
        <v>699101.07</v>
      </c>
      <c r="C30" s="54">
        <f>53114.46+1954.52</f>
        <v>55068.979999999996</v>
      </c>
      <c r="D30" s="54">
        <f>66217.25+947.43</f>
        <v>67164.679999999993</v>
      </c>
      <c r="E30" s="54">
        <v>37425.300000000003</v>
      </c>
      <c r="F30" s="24">
        <f t="shared" si="3"/>
        <v>858760.02999999991</v>
      </c>
      <c r="G30" s="27"/>
      <c r="H30" s="28">
        <v>48803.66</v>
      </c>
      <c r="I30" s="26">
        <f t="shared" si="2"/>
        <v>809956.36999999988</v>
      </c>
      <c r="J30" s="93">
        <v>131769.71999999997</v>
      </c>
      <c r="K30" s="93">
        <v>16014.78</v>
      </c>
      <c r="L30" s="93">
        <v>445487.52999999997</v>
      </c>
      <c r="M30" s="93">
        <v>141038.82999999999</v>
      </c>
      <c r="N30" s="93"/>
      <c r="O30" s="93">
        <v>75645.509999999995</v>
      </c>
      <c r="P30" s="93"/>
      <c r="Q30" s="93"/>
      <c r="R30" s="93"/>
    </row>
    <row r="31" spans="1:18" x14ac:dyDescent="0.3">
      <c r="A31" s="3" t="s">
        <v>35</v>
      </c>
      <c r="B31" s="54">
        <f>315132.5+9788.83+48744.85</f>
        <v>373666.18</v>
      </c>
      <c r="C31" s="54">
        <v>320.64999999999998</v>
      </c>
      <c r="D31" s="54"/>
      <c r="E31" s="54"/>
      <c r="F31" s="24">
        <f t="shared" si="3"/>
        <v>373986.82999999996</v>
      </c>
      <c r="G31" s="27"/>
      <c r="H31" s="28">
        <f>21767.9+36765.78</f>
        <v>58533.68</v>
      </c>
      <c r="I31" s="26">
        <f t="shared" si="2"/>
        <v>315453.14999999997</v>
      </c>
      <c r="J31" s="93">
        <v>58058.12000000001</v>
      </c>
      <c r="K31" s="93">
        <v>18916.830000000002</v>
      </c>
      <c r="L31" s="93">
        <v>57728.099999999991</v>
      </c>
      <c r="M31" s="93">
        <v>162683.76999999996</v>
      </c>
      <c r="N31" s="93">
        <v>2861.69</v>
      </c>
      <c r="O31" s="93">
        <v>15204.64</v>
      </c>
      <c r="P31" s="93"/>
      <c r="Q31" s="93"/>
      <c r="R31" s="93"/>
    </row>
    <row r="32" spans="1:18" x14ac:dyDescent="0.3">
      <c r="A32" s="3" t="s">
        <v>36</v>
      </c>
      <c r="B32" s="54">
        <f>105379.18+6658.75</f>
        <v>112037.93</v>
      </c>
      <c r="C32" s="54"/>
      <c r="D32" s="54"/>
      <c r="E32" s="54"/>
      <c r="F32" s="24">
        <f t="shared" si="3"/>
        <v>112037.93</v>
      </c>
      <c r="G32" s="27"/>
      <c r="H32" s="28">
        <f>3545.3+3113.45</f>
        <v>6658.75</v>
      </c>
      <c r="I32" s="26">
        <f t="shared" si="2"/>
        <v>105379.18</v>
      </c>
      <c r="J32" s="93">
        <v>7173.73</v>
      </c>
      <c r="K32" s="93"/>
      <c r="L32" s="93">
        <v>14943.679999999998</v>
      </c>
      <c r="M32" s="93">
        <v>25339.07</v>
      </c>
      <c r="N32" s="93"/>
      <c r="O32" s="93"/>
      <c r="P32" s="93">
        <v>47758.700000000004</v>
      </c>
      <c r="Q32" s="93"/>
      <c r="R32" s="93">
        <v>10164</v>
      </c>
    </row>
    <row r="33" spans="1:18" x14ac:dyDescent="0.3">
      <c r="A33" s="3" t="s">
        <v>163</v>
      </c>
      <c r="B33" s="54">
        <f>155204.84+7045.95</f>
        <v>162250.79</v>
      </c>
      <c r="C33" s="54"/>
      <c r="D33" s="54"/>
      <c r="E33" s="54"/>
      <c r="F33" s="24">
        <f t="shared" si="3"/>
        <v>162250.78999999998</v>
      </c>
      <c r="G33" s="27"/>
      <c r="H33" s="28">
        <f>3932.5+3113.45</f>
        <v>7045.95</v>
      </c>
      <c r="I33" s="26">
        <f t="shared" si="2"/>
        <v>155204.83999999997</v>
      </c>
      <c r="J33" s="93">
        <v>29362.2</v>
      </c>
      <c r="K33" s="93"/>
      <c r="L33" s="93">
        <v>17018.02</v>
      </c>
      <c r="M33" s="93">
        <v>30758.030000000002</v>
      </c>
      <c r="N33" s="93"/>
      <c r="O33" s="93"/>
      <c r="P33" s="93">
        <v>78066.589999999967</v>
      </c>
      <c r="Q33" s="93"/>
      <c r="R33" s="93"/>
    </row>
    <row r="34" spans="1:18" x14ac:dyDescent="0.3">
      <c r="A34" s="3" t="s">
        <v>174</v>
      </c>
      <c r="B34" s="54">
        <f>64996.12+16770.6+16915.8</f>
        <v>98682.52</v>
      </c>
      <c r="C34" s="54"/>
      <c r="D34" s="54"/>
      <c r="E34" s="54"/>
      <c r="F34" s="24">
        <f t="shared" si="3"/>
        <v>98682.52</v>
      </c>
      <c r="G34" s="27"/>
      <c r="H34" s="28">
        <f>30066.08+3620.32</f>
        <v>33686.400000000001</v>
      </c>
      <c r="I34" s="26">
        <f t="shared" si="2"/>
        <v>64996.12</v>
      </c>
      <c r="J34" s="93"/>
      <c r="K34" s="93"/>
      <c r="L34" s="93">
        <v>64996.12</v>
      </c>
      <c r="M34" s="93"/>
      <c r="N34" s="93"/>
      <c r="O34" s="93"/>
      <c r="P34" s="93"/>
      <c r="Q34" s="93"/>
      <c r="R34" s="93"/>
    </row>
    <row r="35" spans="1:18" x14ac:dyDescent="0.3">
      <c r="A35" s="3" t="s">
        <v>37</v>
      </c>
      <c r="B35" s="54">
        <v>940300.03</v>
      </c>
      <c r="C35" s="54">
        <v>539395.46</v>
      </c>
      <c r="D35" s="54">
        <v>151118.13</v>
      </c>
      <c r="E35" s="54">
        <v>22765.599999999999</v>
      </c>
      <c r="F35" s="24">
        <f t="shared" si="3"/>
        <v>1653579.2199999997</v>
      </c>
      <c r="G35" s="27"/>
      <c r="H35" s="28"/>
      <c r="I35" s="26">
        <f t="shared" si="2"/>
        <v>1653579.2199999997</v>
      </c>
      <c r="J35" s="93"/>
      <c r="K35" s="93">
        <v>401024.07999999996</v>
      </c>
      <c r="L35" s="93">
        <v>356332.87999999989</v>
      </c>
      <c r="M35" s="93">
        <v>395202.04</v>
      </c>
      <c r="N35" s="93"/>
      <c r="O35" s="93">
        <v>183950.25</v>
      </c>
      <c r="P35" s="93">
        <v>66550</v>
      </c>
      <c r="Q35" s="93">
        <v>210589.96999999997</v>
      </c>
      <c r="R35" s="93">
        <v>39930</v>
      </c>
    </row>
    <row r="36" spans="1:18" x14ac:dyDescent="0.3">
      <c r="A36" s="3" t="s">
        <v>38</v>
      </c>
      <c r="B36" s="54"/>
      <c r="C36" s="54"/>
      <c r="D36" s="54"/>
      <c r="E36" s="54">
        <v>22286.13</v>
      </c>
      <c r="F36" s="24">
        <f t="shared" si="3"/>
        <v>22286.13</v>
      </c>
      <c r="G36" s="27"/>
      <c r="H36" s="28"/>
      <c r="I36" s="26">
        <f t="shared" si="2"/>
        <v>22286.13</v>
      </c>
      <c r="J36" s="93">
        <v>22286.13</v>
      </c>
      <c r="K36" s="93"/>
      <c r="L36" s="93"/>
      <c r="M36" s="93"/>
      <c r="N36" s="93"/>
      <c r="O36" s="93"/>
      <c r="P36" s="93"/>
      <c r="Q36" s="93"/>
      <c r="R36" s="93"/>
    </row>
    <row r="37" spans="1:18" x14ac:dyDescent="0.3">
      <c r="A37" s="3" t="s">
        <v>39</v>
      </c>
      <c r="B37" s="54">
        <v>89588.4</v>
      </c>
      <c r="C37" s="54"/>
      <c r="D37" s="54"/>
      <c r="E37" s="54"/>
      <c r="F37" s="24">
        <f t="shared" si="3"/>
        <v>89588.4</v>
      </c>
      <c r="G37" s="27"/>
      <c r="H37" s="28"/>
      <c r="I37" s="26">
        <f t="shared" si="2"/>
        <v>89588.4</v>
      </c>
      <c r="J37" s="93"/>
      <c r="K37" s="93"/>
      <c r="L37" s="93"/>
      <c r="M37" s="93">
        <v>89588.4</v>
      </c>
      <c r="N37" s="93"/>
      <c r="O37" s="93"/>
      <c r="P37" s="93"/>
      <c r="Q37" s="93"/>
      <c r="R37" s="93"/>
    </row>
    <row r="38" spans="1:18" x14ac:dyDescent="0.3">
      <c r="A38" s="3" t="s">
        <v>40</v>
      </c>
      <c r="B38" s="54">
        <f>21780+209.09</f>
        <v>21989.09</v>
      </c>
      <c r="C38" s="54"/>
      <c r="D38" s="54"/>
      <c r="E38" s="54">
        <f>5001.7+856</f>
        <v>5857.7</v>
      </c>
      <c r="F38" s="24">
        <f t="shared" si="3"/>
        <v>27846.79</v>
      </c>
      <c r="G38" s="27"/>
      <c r="H38" s="28">
        <v>1065.0899999999999</v>
      </c>
      <c r="I38" s="26">
        <f t="shared" si="2"/>
        <v>26781.7</v>
      </c>
      <c r="J38" s="93"/>
      <c r="K38" s="93">
        <v>5001.7</v>
      </c>
      <c r="L38" s="93"/>
      <c r="M38" s="93">
        <v>21780</v>
      </c>
      <c r="N38" s="93"/>
      <c r="O38" s="93"/>
      <c r="P38" s="93"/>
      <c r="Q38" s="93"/>
      <c r="R38" s="93"/>
    </row>
    <row r="39" spans="1:18" x14ac:dyDescent="0.3">
      <c r="A39" s="3" t="s">
        <v>41</v>
      </c>
      <c r="B39" s="54">
        <f>275137.96+15515.95</f>
        <v>290653.91000000003</v>
      </c>
      <c r="C39" s="54"/>
      <c r="D39" s="54"/>
      <c r="E39" s="54">
        <v>1939.5</v>
      </c>
      <c r="F39" s="24">
        <f t="shared" si="3"/>
        <v>292593.40999999997</v>
      </c>
      <c r="G39" s="27"/>
      <c r="H39" s="28">
        <f>12535.6+4919.85</f>
        <v>17455.45</v>
      </c>
      <c r="I39" s="26">
        <f t="shared" si="2"/>
        <v>275137.95999999996</v>
      </c>
      <c r="J39" s="93">
        <v>30018.969999999998</v>
      </c>
      <c r="K39" s="93"/>
      <c r="L39" s="93">
        <v>37060.39</v>
      </c>
      <c r="M39" s="93">
        <v>113720.06</v>
      </c>
      <c r="N39" s="93"/>
      <c r="O39" s="93"/>
      <c r="P39" s="93">
        <v>94338.540000000008</v>
      </c>
      <c r="Q39" s="93"/>
      <c r="R39" s="93"/>
    </row>
    <row r="40" spans="1:18" x14ac:dyDescent="0.3">
      <c r="A40" s="3" t="s">
        <v>42</v>
      </c>
      <c r="B40" s="54"/>
      <c r="C40" s="54"/>
      <c r="D40" s="54"/>
      <c r="E40" s="54">
        <v>544.5</v>
      </c>
      <c r="F40" s="24">
        <f t="shared" si="3"/>
        <v>544.5</v>
      </c>
      <c r="G40" s="27"/>
      <c r="H40" s="28"/>
      <c r="I40" s="26">
        <f t="shared" si="2"/>
        <v>544.5</v>
      </c>
      <c r="J40" s="93"/>
      <c r="K40" s="93"/>
      <c r="L40" s="93">
        <v>544.5</v>
      </c>
      <c r="M40" s="93"/>
      <c r="N40" s="93"/>
      <c r="O40" s="93"/>
      <c r="P40" s="93"/>
      <c r="Q40" s="93"/>
      <c r="R40" s="93"/>
    </row>
    <row r="41" spans="1:18" x14ac:dyDescent="0.3">
      <c r="A41" s="3" t="s">
        <v>43</v>
      </c>
      <c r="B41" s="54">
        <f>13310+15592.9</f>
        <v>28902.9</v>
      </c>
      <c r="C41" s="54"/>
      <c r="D41" s="54"/>
      <c r="E41" s="54"/>
      <c r="F41" s="24">
        <f t="shared" si="3"/>
        <v>28902.9</v>
      </c>
      <c r="G41" s="27"/>
      <c r="H41" s="28">
        <v>15592.9</v>
      </c>
      <c r="I41" s="26">
        <f t="shared" si="2"/>
        <v>13310</v>
      </c>
      <c r="J41" s="93"/>
      <c r="K41" s="93"/>
      <c r="L41" s="93"/>
      <c r="M41" s="93">
        <v>13310</v>
      </c>
      <c r="N41" s="93"/>
      <c r="O41" s="93"/>
      <c r="P41" s="93"/>
      <c r="Q41" s="93"/>
      <c r="R41" s="93"/>
    </row>
    <row r="42" spans="1:18" x14ac:dyDescent="0.3">
      <c r="A42" s="3" t="s">
        <v>44</v>
      </c>
      <c r="B42" s="54"/>
      <c r="C42" s="54">
        <v>26285.919999999998</v>
      </c>
      <c r="D42" s="54"/>
      <c r="E42" s="54"/>
      <c r="F42" s="24">
        <f t="shared" si="3"/>
        <v>26285.919999999998</v>
      </c>
      <c r="G42" s="27"/>
      <c r="H42" s="28"/>
      <c r="I42" s="26">
        <f t="shared" si="2"/>
        <v>26285.919999999998</v>
      </c>
      <c r="J42" s="93"/>
      <c r="K42" s="93"/>
      <c r="L42" s="93"/>
      <c r="M42" s="93">
        <v>26285.919999999998</v>
      </c>
      <c r="N42" s="93"/>
      <c r="O42" s="93"/>
      <c r="P42" s="93"/>
      <c r="Q42" s="93"/>
      <c r="R42" s="93"/>
    </row>
    <row r="43" spans="1:18" x14ac:dyDescent="0.3">
      <c r="A43" s="3" t="s">
        <v>45</v>
      </c>
      <c r="B43" s="54">
        <f>81905.86+20415.04</f>
        <v>102320.9</v>
      </c>
      <c r="C43" s="54">
        <f>43091.9+18263.48</f>
        <v>61355.380000000005</v>
      </c>
      <c r="D43" s="54">
        <f>2380.95+7800.64</f>
        <v>10181.59</v>
      </c>
      <c r="E43" s="54">
        <v>2610.67</v>
      </c>
      <c r="F43" s="24">
        <f t="shared" si="3"/>
        <v>176468.53999999998</v>
      </c>
      <c r="G43" s="27"/>
      <c r="H43" s="28">
        <f>6050+40429.16</f>
        <v>46479.16</v>
      </c>
      <c r="I43" s="26">
        <f t="shared" si="2"/>
        <v>129989.37999999998</v>
      </c>
      <c r="J43" s="93"/>
      <c r="K43" s="93">
        <v>13396.82</v>
      </c>
      <c r="L43" s="93">
        <v>11273.029999999999</v>
      </c>
      <c r="M43" s="93">
        <v>105319.52999999998</v>
      </c>
      <c r="N43" s="93"/>
      <c r="O43" s="93"/>
      <c r="P43" s="93"/>
      <c r="Q43" s="93"/>
      <c r="R43" s="93"/>
    </row>
    <row r="44" spans="1:18" x14ac:dyDescent="0.3">
      <c r="A44" s="3" t="s">
        <v>46</v>
      </c>
      <c r="B44" s="54"/>
      <c r="C44" s="54">
        <f>119610.59+43419.2</f>
        <v>163029.78999999998</v>
      </c>
      <c r="D44" s="54"/>
      <c r="E44" s="54"/>
      <c r="F44" s="24">
        <f t="shared" si="3"/>
        <v>163029.78999999998</v>
      </c>
      <c r="G44" s="27"/>
      <c r="H44" s="28">
        <f>30292.49+13126.71</f>
        <v>43419.199999999997</v>
      </c>
      <c r="I44" s="26">
        <f t="shared" si="2"/>
        <v>119610.59</v>
      </c>
      <c r="J44" s="93"/>
      <c r="K44" s="93">
        <v>6580.579999999999</v>
      </c>
      <c r="L44" s="93">
        <v>37303.55999999999</v>
      </c>
      <c r="M44" s="93">
        <v>75726.450000000012</v>
      </c>
      <c r="N44" s="93"/>
      <c r="O44" s="93"/>
      <c r="P44" s="93"/>
      <c r="Q44" s="93"/>
      <c r="R44" s="93"/>
    </row>
    <row r="45" spans="1:18" x14ac:dyDescent="0.3">
      <c r="A45" s="3" t="s">
        <v>47</v>
      </c>
      <c r="B45" s="54">
        <v>48325.440000000002</v>
      </c>
      <c r="C45" s="54">
        <f>18653.15+5000</f>
        <v>23653.15</v>
      </c>
      <c r="D45" s="54">
        <v>1499.01</v>
      </c>
      <c r="E45" s="54"/>
      <c r="F45" s="24">
        <f t="shared" si="3"/>
        <v>73477.600000000006</v>
      </c>
      <c r="G45" s="27"/>
      <c r="H45" s="28">
        <v>5000</v>
      </c>
      <c r="I45" s="26">
        <f t="shared" si="2"/>
        <v>68477.600000000006</v>
      </c>
      <c r="J45" s="93"/>
      <c r="K45" s="93">
        <v>7953.39</v>
      </c>
      <c r="L45" s="93">
        <v>1667.91</v>
      </c>
      <c r="M45" s="93">
        <v>58856.3</v>
      </c>
      <c r="N45" s="93"/>
      <c r="O45" s="93"/>
      <c r="P45" s="93"/>
      <c r="Q45" s="93"/>
      <c r="R45" s="93"/>
    </row>
    <row r="46" spans="1:18" x14ac:dyDescent="0.3">
      <c r="A46" s="3" t="s">
        <v>48</v>
      </c>
      <c r="B46" s="54"/>
      <c r="C46" s="54"/>
      <c r="D46" s="54"/>
      <c r="E46" s="54">
        <f>213738.66+11607.07</f>
        <v>225345.73</v>
      </c>
      <c r="F46" s="24">
        <f t="shared" si="3"/>
        <v>225345.73</v>
      </c>
      <c r="G46" s="27"/>
      <c r="H46" s="28">
        <v>11607.07</v>
      </c>
      <c r="I46" s="26">
        <f t="shared" si="2"/>
        <v>213738.66</v>
      </c>
      <c r="J46" s="93">
        <v>37482.5</v>
      </c>
      <c r="K46" s="93">
        <v>24544.35</v>
      </c>
      <c r="L46" s="93">
        <v>72370.109999999986</v>
      </c>
      <c r="M46" s="93">
        <v>49549.19000000001</v>
      </c>
      <c r="N46" s="93"/>
      <c r="O46" s="93">
        <v>29792.510000000002</v>
      </c>
      <c r="P46" s="93"/>
      <c r="Q46" s="93"/>
      <c r="R46" s="93"/>
    </row>
    <row r="47" spans="1:18" x14ac:dyDescent="0.3">
      <c r="A47" s="3" t="s">
        <v>49</v>
      </c>
      <c r="B47" s="54">
        <f>5640.82+11858</f>
        <v>17498.82</v>
      </c>
      <c r="C47" s="54">
        <v>18734.5</v>
      </c>
      <c r="D47" s="54"/>
      <c r="E47" s="54"/>
      <c r="F47" s="24">
        <f t="shared" si="3"/>
        <v>36233.32</v>
      </c>
      <c r="G47" s="27"/>
      <c r="H47" s="28">
        <f>11858</f>
        <v>11858</v>
      </c>
      <c r="I47" s="26">
        <f t="shared" si="2"/>
        <v>24375.32</v>
      </c>
      <c r="J47" s="93"/>
      <c r="K47" s="93"/>
      <c r="L47" s="93">
        <v>24375.32</v>
      </c>
      <c r="M47" s="93"/>
      <c r="N47" s="93"/>
      <c r="O47" s="93"/>
      <c r="P47" s="93"/>
      <c r="Q47" s="93"/>
      <c r="R47" s="93"/>
    </row>
    <row r="48" spans="1:18" x14ac:dyDescent="0.3">
      <c r="A48" s="3" t="s">
        <v>50</v>
      </c>
      <c r="B48" s="54">
        <f>65939.53+8061.46+10355.3</f>
        <v>84356.290000000008</v>
      </c>
      <c r="C48" s="54"/>
      <c r="D48" s="54"/>
      <c r="E48" s="54"/>
      <c r="F48" s="24">
        <f t="shared" si="3"/>
        <v>84356.290000000008</v>
      </c>
      <c r="G48" s="27"/>
      <c r="H48" s="28">
        <f>5566+12850.76</f>
        <v>18416.760000000002</v>
      </c>
      <c r="I48" s="26">
        <f t="shared" si="2"/>
        <v>65939.53</v>
      </c>
      <c r="J48" s="93">
        <v>14018.419999999998</v>
      </c>
      <c r="K48" s="93">
        <v>1479.71</v>
      </c>
      <c r="L48" s="93">
        <v>16799.75</v>
      </c>
      <c r="M48" s="93">
        <v>12655.559999999998</v>
      </c>
      <c r="N48" s="93"/>
      <c r="O48" s="93"/>
      <c r="P48" s="93">
        <v>20986.09</v>
      </c>
      <c r="Q48" s="93"/>
      <c r="R48" s="93"/>
    </row>
    <row r="49" spans="1:18" x14ac:dyDescent="0.3">
      <c r="A49" s="42" t="s">
        <v>175</v>
      </c>
      <c r="B49" s="54">
        <v>698909.65</v>
      </c>
      <c r="C49" s="54"/>
      <c r="D49" s="54"/>
      <c r="E49" s="54"/>
      <c r="F49" s="24">
        <f t="shared" si="3"/>
        <v>698909.64999999991</v>
      </c>
      <c r="G49" s="27"/>
      <c r="H49" s="28"/>
      <c r="I49" s="26">
        <f>SUM(J49:R49)</f>
        <v>698909.64999999991</v>
      </c>
      <c r="J49" s="93">
        <v>69935.05</v>
      </c>
      <c r="K49" s="93"/>
      <c r="L49" s="93">
        <v>339436.38</v>
      </c>
      <c r="M49" s="93">
        <v>289538.21999999997</v>
      </c>
      <c r="N49" s="93"/>
      <c r="O49" s="93"/>
      <c r="P49" s="93"/>
      <c r="Q49" s="93"/>
      <c r="R49" s="93"/>
    </row>
    <row r="50" spans="1:18" x14ac:dyDescent="0.3">
      <c r="A50" s="13" t="s">
        <v>22</v>
      </c>
      <c r="B50" s="54">
        <f>2388345.65-5001.7-698909.65</f>
        <v>1684434.2999999998</v>
      </c>
      <c r="C50" s="54">
        <f>617519.79-5001.7</f>
        <v>612518.09000000008</v>
      </c>
      <c r="D50" s="54">
        <f>785594.47-4996.8</f>
        <v>780597.66999999993</v>
      </c>
      <c r="E50" s="54">
        <f>887942.14-5001.7-1499.01</f>
        <v>881441.43</v>
      </c>
      <c r="F50" s="24"/>
      <c r="G50" s="27"/>
      <c r="H50" s="28"/>
      <c r="I50" s="26"/>
      <c r="J50" s="93"/>
      <c r="K50" s="93"/>
      <c r="L50" s="93"/>
      <c r="M50" s="93"/>
      <c r="N50" s="93"/>
      <c r="O50" s="93"/>
      <c r="P50" s="93"/>
      <c r="Q50" s="93"/>
      <c r="R50" s="93"/>
    </row>
    <row r="51" spans="1:18" x14ac:dyDescent="0.3">
      <c r="A51" s="65" t="s">
        <v>23</v>
      </c>
      <c r="B51" s="54"/>
      <c r="C51" s="54"/>
      <c r="D51" s="54"/>
      <c r="E51" s="54"/>
      <c r="F51" s="24">
        <f t="shared" si="3"/>
        <v>593452.82000000007</v>
      </c>
      <c r="G51" s="27"/>
      <c r="H51" s="28"/>
      <c r="I51" s="26">
        <f t="shared" ref="I51:I58" si="4">SUM(J51:R51)</f>
        <v>593452.82000000007</v>
      </c>
      <c r="J51" s="93">
        <v>12361.64</v>
      </c>
      <c r="K51" s="93">
        <v>33454.75</v>
      </c>
      <c r="L51" s="93">
        <v>93408.75</v>
      </c>
      <c r="M51" s="93">
        <v>454227.68</v>
      </c>
      <c r="N51" s="93"/>
      <c r="O51" s="93"/>
      <c r="P51" s="93"/>
      <c r="Q51" s="93"/>
      <c r="R51" s="93"/>
    </row>
    <row r="52" spans="1:18" x14ac:dyDescent="0.3">
      <c r="A52" s="65" t="s">
        <v>24</v>
      </c>
      <c r="B52" s="54"/>
      <c r="C52" s="54"/>
      <c r="D52" s="54"/>
      <c r="E52" s="54"/>
      <c r="F52" s="24">
        <f t="shared" si="3"/>
        <v>1111690.99</v>
      </c>
      <c r="G52" s="27"/>
      <c r="H52" s="28"/>
      <c r="I52" s="26">
        <f t="shared" si="4"/>
        <v>1111690.99</v>
      </c>
      <c r="J52" s="93">
        <v>31082.12</v>
      </c>
      <c r="K52" s="93">
        <v>37987.160000000003</v>
      </c>
      <c r="L52" s="93">
        <v>66157.59</v>
      </c>
      <c r="M52" s="93">
        <v>976464.12</v>
      </c>
      <c r="N52" s="93"/>
      <c r="O52" s="93"/>
      <c r="P52" s="93"/>
      <c r="Q52" s="93"/>
      <c r="R52" s="93"/>
    </row>
    <row r="53" spans="1:18" x14ac:dyDescent="0.3">
      <c r="A53" s="65" t="s">
        <v>25</v>
      </c>
      <c r="B53" s="54"/>
      <c r="C53" s="54"/>
      <c r="D53" s="54"/>
      <c r="E53" s="54"/>
      <c r="F53" s="24">
        <f t="shared" si="3"/>
        <v>70327.75</v>
      </c>
      <c r="G53" s="27"/>
      <c r="H53" s="28"/>
      <c r="I53" s="26">
        <f t="shared" si="4"/>
        <v>70327.75</v>
      </c>
      <c r="J53" s="93">
        <v>1157.8599999999999</v>
      </c>
      <c r="K53" s="93">
        <v>1382.99</v>
      </c>
      <c r="L53" s="93">
        <v>27097.55</v>
      </c>
      <c r="M53" s="93">
        <v>40689.35</v>
      </c>
      <c r="N53" s="93"/>
      <c r="O53" s="93"/>
      <c r="P53" s="93"/>
      <c r="Q53" s="93"/>
      <c r="R53" s="93"/>
    </row>
    <row r="54" spans="1:18" x14ac:dyDescent="0.3">
      <c r="A54" s="65" t="s">
        <v>26</v>
      </c>
      <c r="B54" s="54"/>
      <c r="C54" s="54"/>
      <c r="D54" s="54"/>
      <c r="E54" s="54"/>
      <c r="F54" s="24">
        <f t="shared" si="3"/>
        <v>574850.42999999993</v>
      </c>
      <c r="G54" s="27"/>
      <c r="H54" s="28"/>
      <c r="I54" s="26">
        <f t="shared" si="4"/>
        <v>574850.42999999993</v>
      </c>
      <c r="J54" s="93">
        <v>6679.58</v>
      </c>
      <c r="K54" s="93">
        <v>58795.38</v>
      </c>
      <c r="L54" s="93">
        <v>55680.53</v>
      </c>
      <c r="M54" s="93">
        <v>453694.94</v>
      </c>
      <c r="N54" s="93"/>
      <c r="O54" s="93"/>
      <c r="P54" s="93"/>
      <c r="Q54" s="93"/>
      <c r="R54" s="93"/>
    </row>
    <row r="55" spans="1:18" x14ac:dyDescent="0.3">
      <c r="A55" s="65" t="s">
        <v>27</v>
      </c>
      <c r="B55" s="54"/>
      <c r="C55" s="54"/>
      <c r="D55" s="54"/>
      <c r="E55" s="54"/>
      <c r="F55" s="24">
        <f t="shared" si="3"/>
        <v>20081</v>
      </c>
      <c r="G55" s="27"/>
      <c r="H55" s="28"/>
      <c r="I55" s="26">
        <f t="shared" si="4"/>
        <v>20081</v>
      </c>
      <c r="J55" s="93"/>
      <c r="K55" s="93">
        <v>499.68</v>
      </c>
      <c r="L55" s="93">
        <v>11740.94</v>
      </c>
      <c r="M55" s="93">
        <v>7840.38</v>
      </c>
      <c r="N55" s="93"/>
      <c r="O55" s="93"/>
      <c r="P55" s="93"/>
      <c r="Q55" s="93"/>
      <c r="R55" s="93"/>
    </row>
    <row r="56" spans="1:18" x14ac:dyDescent="0.3">
      <c r="A56" s="65" t="s">
        <v>28</v>
      </c>
      <c r="B56" s="54"/>
      <c r="C56" s="54"/>
      <c r="D56" s="54"/>
      <c r="E56" s="54"/>
      <c r="F56" s="24">
        <f t="shared" si="3"/>
        <v>1026839.8200000001</v>
      </c>
      <c r="G56" s="27"/>
      <c r="H56" s="28"/>
      <c r="I56" s="26">
        <f t="shared" si="4"/>
        <v>1026839.8200000001</v>
      </c>
      <c r="J56" s="93">
        <v>32800.07</v>
      </c>
      <c r="K56" s="93">
        <v>28950.27</v>
      </c>
      <c r="L56" s="93">
        <v>88374.11</v>
      </c>
      <c r="M56" s="93">
        <v>876715.37</v>
      </c>
      <c r="N56" s="93"/>
      <c r="O56" s="93"/>
      <c r="P56" s="93"/>
      <c r="Q56" s="93"/>
      <c r="R56" s="93"/>
    </row>
    <row r="57" spans="1:18" x14ac:dyDescent="0.3">
      <c r="A57" s="65" t="s">
        <v>29</v>
      </c>
      <c r="B57" s="54"/>
      <c r="C57" s="54"/>
      <c r="D57" s="54"/>
      <c r="E57" s="54"/>
      <c r="F57" s="24">
        <f t="shared" si="3"/>
        <v>218951.79</v>
      </c>
      <c r="G57" s="27"/>
      <c r="H57" s="28"/>
      <c r="I57" s="26">
        <f t="shared" si="4"/>
        <v>218951.79</v>
      </c>
      <c r="J57" s="93">
        <v>3516.61</v>
      </c>
      <c r="K57" s="93">
        <v>10694.24</v>
      </c>
      <c r="L57" s="93">
        <v>70256.820000000007</v>
      </c>
      <c r="M57" s="93">
        <v>134484.12</v>
      </c>
      <c r="N57" s="93"/>
      <c r="O57" s="93"/>
      <c r="P57" s="93"/>
      <c r="Q57" s="93"/>
      <c r="R57" s="93"/>
    </row>
    <row r="58" spans="1:18" x14ac:dyDescent="0.3">
      <c r="A58" s="65" t="s">
        <v>30</v>
      </c>
      <c r="B58" s="54"/>
      <c r="C58" s="54"/>
      <c r="D58" s="54"/>
      <c r="E58" s="54"/>
      <c r="F58" s="24">
        <f t="shared" si="3"/>
        <v>342796.89</v>
      </c>
      <c r="G58" s="27"/>
      <c r="H58" s="28"/>
      <c r="I58" s="26">
        <f t="shared" si="4"/>
        <v>342796.89</v>
      </c>
      <c r="J58" s="93">
        <v>3166.82</v>
      </c>
      <c r="K58" s="93">
        <v>15165.56</v>
      </c>
      <c r="L58" s="93">
        <v>177374.29</v>
      </c>
      <c r="M58" s="93">
        <v>147090.22</v>
      </c>
      <c r="N58" s="93"/>
      <c r="O58" s="93"/>
      <c r="P58" s="93"/>
      <c r="Q58" s="93"/>
      <c r="R58" s="93"/>
    </row>
    <row r="59" spans="1:18" s="6" customFormat="1" x14ac:dyDescent="0.3">
      <c r="A59" s="19" t="s">
        <v>51</v>
      </c>
      <c r="B59" s="54"/>
      <c r="C59" s="54"/>
      <c r="D59" s="54"/>
      <c r="E59" s="54"/>
      <c r="F59" s="24"/>
      <c r="G59" s="27"/>
      <c r="H59" s="25"/>
      <c r="I59" s="26">
        <f t="shared" si="2"/>
        <v>0</v>
      </c>
      <c r="J59" s="91"/>
      <c r="K59" s="91"/>
      <c r="L59" s="91"/>
      <c r="M59" s="92"/>
      <c r="N59" s="91"/>
      <c r="O59" s="91"/>
      <c r="P59" s="91"/>
      <c r="Q59" s="91"/>
      <c r="R59" s="91"/>
    </row>
    <row r="60" spans="1:18" s="6" customFormat="1" x14ac:dyDescent="0.3">
      <c r="A60" s="7" t="s">
        <v>135</v>
      </c>
      <c r="B60" s="54"/>
      <c r="C60" s="54">
        <v>3146</v>
      </c>
      <c r="D60" s="54"/>
      <c r="E60" s="54"/>
      <c r="F60" s="24">
        <f t="shared" ref="F60:F66" si="5">H60+I60</f>
        <v>3146</v>
      </c>
      <c r="G60" s="27"/>
      <c r="H60" s="25"/>
      <c r="I60" s="26">
        <f t="shared" si="2"/>
        <v>3146</v>
      </c>
      <c r="J60" s="95"/>
      <c r="K60" s="95">
        <v>3146</v>
      </c>
      <c r="L60" s="95"/>
      <c r="M60" s="95"/>
      <c r="N60" s="95"/>
      <c r="O60" s="95"/>
      <c r="P60" s="95"/>
      <c r="Q60" s="95"/>
      <c r="R60" s="95"/>
    </row>
    <row r="61" spans="1:18" s="6" customFormat="1" x14ac:dyDescent="0.3">
      <c r="A61" s="7" t="s">
        <v>52</v>
      </c>
      <c r="B61" s="54">
        <v>96955.13</v>
      </c>
      <c r="C61" s="54"/>
      <c r="D61" s="54"/>
      <c r="E61" s="54"/>
      <c r="F61" s="24">
        <f t="shared" si="5"/>
        <v>96955.13</v>
      </c>
      <c r="G61" s="27"/>
      <c r="H61" s="25"/>
      <c r="I61" s="26">
        <f t="shared" si="2"/>
        <v>96955.13</v>
      </c>
      <c r="J61" s="95"/>
      <c r="K61" s="95">
        <v>12895.460000000001</v>
      </c>
      <c r="L61" s="95"/>
      <c r="M61" s="95">
        <v>84059.67</v>
      </c>
      <c r="N61" s="95"/>
      <c r="O61" s="95"/>
      <c r="P61" s="95"/>
      <c r="Q61" s="95"/>
      <c r="R61" s="95"/>
    </row>
    <row r="62" spans="1:18" s="6" customFormat="1" x14ac:dyDescent="0.3">
      <c r="A62" s="7" t="s">
        <v>53</v>
      </c>
      <c r="B62" s="54"/>
      <c r="C62" s="54"/>
      <c r="D62" s="54"/>
      <c r="E62" s="54">
        <f>1815+243.15</f>
        <v>2058.15</v>
      </c>
      <c r="F62" s="24">
        <f t="shared" si="5"/>
        <v>2058.15</v>
      </c>
      <c r="G62" s="27"/>
      <c r="H62" s="25"/>
      <c r="I62" s="26">
        <f t="shared" si="2"/>
        <v>2058.15</v>
      </c>
      <c r="J62" s="95"/>
      <c r="K62" s="95">
        <v>1815</v>
      </c>
      <c r="L62" s="95">
        <v>243.15</v>
      </c>
      <c r="M62" s="95"/>
      <c r="N62" s="95"/>
      <c r="O62" s="95"/>
      <c r="P62" s="95"/>
      <c r="Q62" s="95"/>
      <c r="R62" s="95"/>
    </row>
    <row r="63" spans="1:18" s="6" customFormat="1" x14ac:dyDescent="0.3">
      <c r="A63" s="7" t="s">
        <v>127</v>
      </c>
      <c r="B63" s="54"/>
      <c r="C63" s="54"/>
      <c r="D63" s="54"/>
      <c r="E63" s="54">
        <v>4416.5</v>
      </c>
      <c r="F63" s="24">
        <f t="shared" si="5"/>
        <v>4416.5</v>
      </c>
      <c r="G63" s="27"/>
      <c r="H63" s="25"/>
      <c r="I63" s="26">
        <f t="shared" si="2"/>
        <v>4416.5</v>
      </c>
      <c r="J63" s="95"/>
      <c r="K63" s="95">
        <v>4416.5</v>
      </c>
      <c r="L63" s="95"/>
      <c r="M63" s="95"/>
      <c r="N63" s="95"/>
      <c r="O63" s="95"/>
      <c r="P63" s="95"/>
      <c r="Q63" s="95"/>
      <c r="R63" s="95"/>
    </row>
    <row r="64" spans="1:18" s="6" customFormat="1" x14ac:dyDescent="0.3">
      <c r="A64" s="7" t="s">
        <v>54</v>
      </c>
      <c r="B64" s="54"/>
      <c r="C64" s="54"/>
      <c r="D64" s="54"/>
      <c r="E64" s="54">
        <f>379594.23+3000+62610.8</f>
        <v>445205.02999999997</v>
      </c>
      <c r="F64" s="24">
        <f t="shared" si="5"/>
        <v>445205.02999999997</v>
      </c>
      <c r="G64" s="27"/>
      <c r="H64" s="25">
        <f>(21320.54+20841.26)+20449</f>
        <v>62610.8</v>
      </c>
      <c r="I64" s="26">
        <f t="shared" si="2"/>
        <v>382594.23</v>
      </c>
      <c r="J64" s="95">
        <v>74326.509999999995</v>
      </c>
      <c r="K64" s="95">
        <v>24033.83</v>
      </c>
      <c r="L64" s="95">
        <f>131329.72+3000</f>
        <v>134329.72</v>
      </c>
      <c r="M64" s="95">
        <v>100608.92</v>
      </c>
      <c r="N64" s="95"/>
      <c r="O64" s="95">
        <v>33525.919999999998</v>
      </c>
      <c r="P64" s="95"/>
      <c r="Q64" s="95"/>
      <c r="R64" s="95">
        <v>15769.33</v>
      </c>
    </row>
    <row r="65" spans="1:18" s="6" customFormat="1" x14ac:dyDescent="0.3">
      <c r="A65" s="19" t="s">
        <v>147</v>
      </c>
      <c r="B65" s="54"/>
      <c r="C65" s="54"/>
      <c r="D65" s="54"/>
      <c r="E65" s="54"/>
      <c r="F65" s="24"/>
      <c r="G65" s="27"/>
      <c r="H65" s="25"/>
      <c r="I65" s="26"/>
      <c r="J65" s="95"/>
      <c r="K65" s="95"/>
      <c r="L65" s="95"/>
      <c r="M65" s="95"/>
      <c r="N65" s="95"/>
      <c r="O65" s="95"/>
      <c r="P65" s="95"/>
      <c r="Q65" s="95"/>
      <c r="R65" s="95"/>
    </row>
    <row r="66" spans="1:18" s="6" customFormat="1" x14ac:dyDescent="0.3">
      <c r="A66" s="67" t="s">
        <v>145</v>
      </c>
      <c r="B66" s="54">
        <v>1728.04</v>
      </c>
      <c r="C66" s="54">
        <v>2619.0500000000002</v>
      </c>
      <c r="D66" s="54"/>
      <c r="E66" s="54">
        <v>2619.0500000000002</v>
      </c>
      <c r="F66" s="24">
        <f t="shared" si="5"/>
        <v>6966.14</v>
      </c>
      <c r="G66" s="27"/>
      <c r="H66" s="25"/>
      <c r="I66" s="26">
        <f t="shared" si="2"/>
        <v>6966.14</v>
      </c>
      <c r="J66" s="95"/>
      <c r="K66" s="95"/>
      <c r="L66" s="95"/>
      <c r="M66" s="95">
        <v>6966.14</v>
      </c>
      <c r="N66" s="95"/>
      <c r="O66" s="95"/>
      <c r="P66" s="95"/>
      <c r="Q66" s="95"/>
      <c r="R66" s="95"/>
    </row>
    <row r="67" spans="1:18" s="6" customFormat="1" x14ac:dyDescent="0.3">
      <c r="A67" s="7" t="s">
        <v>155</v>
      </c>
      <c r="B67" s="54"/>
      <c r="C67" s="54"/>
      <c r="D67" s="54">
        <v>2056.1799999999998</v>
      </c>
      <c r="E67" s="54"/>
      <c r="F67" s="24">
        <f>H67+I67</f>
        <v>2056.1799999999998</v>
      </c>
      <c r="G67" s="27"/>
      <c r="H67" s="25"/>
      <c r="I67" s="29">
        <f t="shared" ref="I67" si="6">SUM(J67:R67)</f>
        <v>2056.1799999999998</v>
      </c>
      <c r="J67" s="95"/>
      <c r="K67" s="95"/>
      <c r="L67" s="95"/>
      <c r="M67" s="95">
        <f>2056.18</f>
        <v>2056.1799999999998</v>
      </c>
      <c r="N67" s="95"/>
      <c r="O67" s="95"/>
      <c r="P67" s="95"/>
      <c r="Q67" s="95"/>
      <c r="R67" s="95"/>
    </row>
    <row r="68" spans="1:18" s="6" customFormat="1" x14ac:dyDescent="0.3">
      <c r="A68" s="19" t="s">
        <v>55</v>
      </c>
      <c r="B68" s="54"/>
      <c r="C68" s="54"/>
      <c r="D68" s="54"/>
      <c r="E68" s="54"/>
      <c r="F68" s="24"/>
      <c r="G68" s="27"/>
      <c r="H68" s="25"/>
      <c r="I68" s="26">
        <f t="shared" si="2"/>
        <v>0</v>
      </c>
      <c r="J68" s="96"/>
      <c r="K68" s="96"/>
      <c r="L68" s="96"/>
      <c r="M68" s="96"/>
      <c r="N68" s="96"/>
      <c r="O68" s="96"/>
      <c r="P68" s="96"/>
      <c r="Q68" s="96"/>
      <c r="R68" s="96"/>
    </row>
    <row r="69" spans="1:18" s="6" customFormat="1" x14ac:dyDescent="0.3">
      <c r="A69" s="7" t="s">
        <v>21</v>
      </c>
      <c r="B69" s="54"/>
      <c r="C69" s="54"/>
      <c r="D69" s="54">
        <v>59716.5</v>
      </c>
      <c r="E69" s="54"/>
      <c r="F69" s="24">
        <f>H69+I69</f>
        <v>59716.499999999993</v>
      </c>
      <c r="G69" s="27"/>
      <c r="H69" s="25"/>
      <c r="I69" s="26">
        <f t="shared" si="2"/>
        <v>59716.499999999993</v>
      </c>
      <c r="J69" s="95">
        <v>6576.7199999999993</v>
      </c>
      <c r="K69" s="95">
        <v>18529.269999999997</v>
      </c>
      <c r="L69" s="95">
        <v>12455.41</v>
      </c>
      <c r="M69" s="95"/>
      <c r="N69" s="95"/>
      <c r="O69" s="95">
        <v>22155.1</v>
      </c>
      <c r="P69" s="95"/>
      <c r="Q69" s="95"/>
      <c r="R69" s="95"/>
    </row>
    <row r="70" spans="1:18" s="6" customFormat="1" x14ac:dyDescent="0.3">
      <c r="A70" s="7" t="s">
        <v>56</v>
      </c>
      <c r="B70" s="54"/>
      <c r="C70" s="54"/>
      <c r="D70" s="54"/>
      <c r="E70" s="54">
        <v>64522.25</v>
      </c>
      <c r="F70" s="24">
        <f>H70+I70</f>
        <v>64522.25</v>
      </c>
      <c r="G70" s="27"/>
      <c r="H70" s="25"/>
      <c r="I70" s="26">
        <f t="shared" si="2"/>
        <v>64522.25</v>
      </c>
      <c r="J70" s="97">
        <v>25008.89</v>
      </c>
      <c r="K70" s="97">
        <v>5786.13</v>
      </c>
      <c r="L70" s="97">
        <v>18332.02</v>
      </c>
      <c r="M70" s="97">
        <v>3093.22</v>
      </c>
      <c r="N70" s="97"/>
      <c r="O70" s="97">
        <v>11281.15</v>
      </c>
      <c r="P70" s="97"/>
      <c r="Q70" s="97"/>
      <c r="R70" s="97">
        <v>1020.84</v>
      </c>
    </row>
    <row r="71" spans="1:18" s="6" customFormat="1" x14ac:dyDescent="0.3">
      <c r="A71" s="7" t="s">
        <v>145</v>
      </c>
      <c r="B71" s="54">
        <v>4852.8599999999997</v>
      </c>
      <c r="C71" s="54"/>
      <c r="D71" s="54"/>
      <c r="E71" s="54"/>
      <c r="F71" s="24">
        <f>H71+I71</f>
        <v>4852.8599999999997</v>
      </c>
      <c r="G71" s="27"/>
      <c r="H71" s="25"/>
      <c r="I71" s="26">
        <f t="shared" si="2"/>
        <v>4852.8599999999997</v>
      </c>
      <c r="J71" s="97"/>
      <c r="K71" s="97"/>
      <c r="L71" s="97"/>
      <c r="M71" s="97">
        <v>4852.8599999999997</v>
      </c>
      <c r="N71" s="97"/>
      <c r="O71" s="97"/>
      <c r="P71" s="97"/>
      <c r="Q71" s="97"/>
      <c r="R71" s="97"/>
    </row>
    <row r="72" spans="1:18" s="6" customFormat="1" x14ac:dyDescent="0.3">
      <c r="A72" s="19" t="s">
        <v>57</v>
      </c>
      <c r="B72" s="54"/>
      <c r="C72" s="54"/>
      <c r="D72" s="54"/>
      <c r="E72" s="54"/>
      <c r="F72" s="24"/>
      <c r="G72" s="27"/>
      <c r="H72" s="25"/>
      <c r="I72" s="26">
        <f t="shared" si="2"/>
        <v>0</v>
      </c>
      <c r="J72" s="95"/>
      <c r="K72" s="95"/>
      <c r="L72" s="95"/>
      <c r="M72" s="95"/>
      <c r="N72" s="95"/>
      <c r="O72" s="95"/>
      <c r="P72" s="95"/>
      <c r="Q72" s="95"/>
      <c r="R72" s="95"/>
    </row>
    <row r="73" spans="1:18" s="6" customFormat="1" x14ac:dyDescent="0.3">
      <c r="A73" s="7" t="s">
        <v>58</v>
      </c>
      <c r="B73" s="54"/>
      <c r="C73" s="54"/>
      <c r="D73" s="54"/>
      <c r="E73" s="54">
        <v>29280.98</v>
      </c>
      <c r="F73" s="24">
        <f>H73+I73</f>
        <v>29280.98</v>
      </c>
      <c r="G73" s="27"/>
      <c r="H73" s="25">
        <f>28222.23+1058.75</f>
        <v>29280.98</v>
      </c>
      <c r="I73" s="26">
        <f t="shared" si="2"/>
        <v>0</v>
      </c>
      <c r="J73" s="95"/>
      <c r="K73" s="95"/>
      <c r="L73" s="95"/>
      <c r="M73" s="95"/>
      <c r="N73" s="95"/>
      <c r="O73" s="95"/>
      <c r="P73" s="95"/>
      <c r="Q73" s="95"/>
      <c r="R73" s="95"/>
    </row>
    <row r="74" spans="1:18" s="6" customFormat="1" x14ac:dyDescent="0.3">
      <c r="A74" s="7" t="s">
        <v>59</v>
      </c>
      <c r="B74" s="54"/>
      <c r="C74" s="54"/>
      <c r="D74" s="54">
        <v>4833.95</v>
      </c>
      <c r="E74" s="54"/>
      <c r="F74" s="24">
        <f>H74+I74</f>
        <v>4833.95</v>
      </c>
      <c r="G74" s="27"/>
      <c r="H74" s="25">
        <f>2462.35+2371.6</f>
        <v>4833.95</v>
      </c>
      <c r="I74" s="26">
        <f t="shared" si="2"/>
        <v>0</v>
      </c>
      <c r="J74" s="95"/>
      <c r="K74" s="95"/>
      <c r="L74" s="95"/>
      <c r="M74" s="95"/>
      <c r="N74" s="95"/>
      <c r="O74" s="95"/>
      <c r="P74" s="95"/>
      <c r="Q74" s="95"/>
      <c r="R74" s="95"/>
    </row>
    <row r="75" spans="1:18" s="6" customFormat="1" x14ac:dyDescent="0.3">
      <c r="A75" s="19" t="s">
        <v>60</v>
      </c>
      <c r="B75" s="54"/>
      <c r="C75" s="54"/>
      <c r="D75" s="54"/>
      <c r="E75" s="54"/>
      <c r="F75" s="24"/>
      <c r="G75" s="27"/>
      <c r="H75" s="25"/>
      <c r="I75" s="29"/>
      <c r="J75" s="95"/>
      <c r="K75" s="95"/>
      <c r="L75" s="95"/>
      <c r="M75" s="95"/>
      <c r="N75" s="95"/>
      <c r="O75" s="95"/>
      <c r="P75" s="95"/>
      <c r="Q75" s="95"/>
      <c r="R75" s="95"/>
    </row>
    <row r="76" spans="1:18" s="6" customFormat="1" x14ac:dyDescent="0.3">
      <c r="A76" s="7" t="s">
        <v>128</v>
      </c>
      <c r="B76" s="54">
        <v>844.44</v>
      </c>
      <c r="C76" s="54">
        <v>844.44</v>
      </c>
      <c r="D76" s="54">
        <v>844.44</v>
      </c>
      <c r="E76" s="54">
        <v>844.44</v>
      </c>
      <c r="F76" s="24">
        <f>H76+I76</f>
        <v>3377.76</v>
      </c>
      <c r="G76" s="27"/>
      <c r="H76" s="25"/>
      <c r="I76" s="29">
        <f t="shared" ref="I76:I91" si="7">SUM(J76:R76)</f>
        <v>3377.76</v>
      </c>
      <c r="J76" s="95">
        <v>3377.76</v>
      </c>
      <c r="K76" s="95"/>
      <c r="L76" s="95"/>
      <c r="M76" s="95"/>
      <c r="N76" s="95"/>
      <c r="O76" s="95"/>
      <c r="P76" s="95"/>
      <c r="Q76" s="95"/>
      <c r="R76" s="95"/>
    </row>
    <row r="77" spans="1:18" s="6" customFormat="1" x14ac:dyDescent="0.3">
      <c r="A77" s="19" t="s">
        <v>61</v>
      </c>
      <c r="B77" s="54"/>
      <c r="C77" s="54"/>
      <c r="D77" s="54"/>
      <c r="E77" s="54"/>
      <c r="F77" s="24"/>
      <c r="G77" s="27"/>
      <c r="H77" s="25"/>
      <c r="I77" s="29"/>
      <c r="J77" s="95"/>
      <c r="K77" s="95"/>
      <c r="L77" s="95"/>
      <c r="M77" s="95"/>
      <c r="N77" s="95"/>
      <c r="O77" s="95"/>
      <c r="P77" s="95"/>
      <c r="Q77" s="95"/>
      <c r="R77" s="95"/>
    </row>
    <row r="78" spans="1:18" s="6" customFormat="1" x14ac:dyDescent="0.3">
      <c r="A78" s="7" t="s">
        <v>62</v>
      </c>
      <c r="B78" s="54">
        <f>18089.49+9533.25</f>
        <v>27622.74</v>
      </c>
      <c r="C78" s="54">
        <v>34057.24</v>
      </c>
      <c r="D78" s="54"/>
      <c r="E78" s="54"/>
      <c r="F78" s="24">
        <f>H78+I78</f>
        <v>61679.98000000001</v>
      </c>
      <c r="G78" s="27"/>
      <c r="H78" s="25">
        <v>9533.25</v>
      </c>
      <c r="I78" s="29">
        <f t="shared" si="7"/>
        <v>52146.73000000001</v>
      </c>
      <c r="J78" s="95">
        <v>34594.14</v>
      </c>
      <c r="K78" s="95">
        <v>4794.91</v>
      </c>
      <c r="L78" s="95">
        <v>2991.3</v>
      </c>
      <c r="M78" s="95">
        <v>9766.380000000001</v>
      </c>
      <c r="N78" s="95"/>
      <c r="O78" s="95"/>
      <c r="P78" s="95"/>
      <c r="Q78" s="95"/>
      <c r="R78" s="95"/>
    </row>
    <row r="79" spans="1:18" s="6" customFormat="1" x14ac:dyDescent="0.3">
      <c r="A79" s="7" t="s">
        <v>63</v>
      </c>
      <c r="B79" s="54"/>
      <c r="C79" s="54"/>
      <c r="D79" s="54">
        <f>19570.3+6551.36</f>
        <v>26121.66</v>
      </c>
      <c r="E79" s="54"/>
      <c r="F79" s="24">
        <f>H79+I79</f>
        <v>26121.66</v>
      </c>
      <c r="G79" s="27"/>
      <c r="H79" s="25">
        <v>6551.36</v>
      </c>
      <c r="I79" s="29">
        <f t="shared" si="7"/>
        <v>19570.3</v>
      </c>
      <c r="J79" s="95">
        <v>14852.19</v>
      </c>
      <c r="K79" s="95">
        <v>1431.06</v>
      </c>
      <c r="L79" s="95">
        <v>970.41</v>
      </c>
      <c r="M79" s="95">
        <v>2316.64</v>
      </c>
      <c r="N79" s="95"/>
      <c r="O79" s="95"/>
      <c r="P79" s="95"/>
      <c r="Q79" s="95"/>
      <c r="R79" s="95"/>
    </row>
    <row r="80" spans="1:18" s="6" customFormat="1" x14ac:dyDescent="0.3">
      <c r="A80" s="7" t="s">
        <v>155</v>
      </c>
      <c r="B80" s="54">
        <v>2056.1799999999998</v>
      </c>
      <c r="C80" s="54"/>
      <c r="D80" s="54">
        <f>6168.54</f>
        <v>6168.54</v>
      </c>
      <c r="E80" s="54"/>
      <c r="F80" s="24">
        <f>H80+I80</f>
        <v>8224.7199999999993</v>
      </c>
      <c r="G80" s="27"/>
      <c r="H80" s="25"/>
      <c r="I80" s="29">
        <f t="shared" si="7"/>
        <v>8224.7199999999993</v>
      </c>
      <c r="J80" s="95"/>
      <c r="K80" s="95"/>
      <c r="L80" s="95"/>
      <c r="M80" s="95">
        <f>8224.72</f>
        <v>8224.7199999999993</v>
      </c>
      <c r="N80" s="95"/>
      <c r="O80" s="95"/>
      <c r="P80" s="95"/>
      <c r="Q80" s="95"/>
      <c r="R80" s="95"/>
    </row>
    <row r="81" spans="1:18" s="6" customFormat="1" x14ac:dyDescent="0.3">
      <c r="A81" s="19" t="s">
        <v>150</v>
      </c>
      <c r="B81" s="54"/>
      <c r="C81" s="54"/>
      <c r="D81" s="54"/>
      <c r="E81" s="54"/>
      <c r="F81" s="24"/>
      <c r="G81" s="27"/>
      <c r="H81" s="25"/>
      <c r="I81" s="29"/>
      <c r="J81" s="95"/>
      <c r="K81" s="95"/>
      <c r="L81" s="95"/>
      <c r="M81" s="95"/>
      <c r="N81" s="95"/>
      <c r="O81" s="95"/>
      <c r="P81" s="95"/>
      <c r="Q81" s="95"/>
      <c r="R81" s="95"/>
    </row>
    <row r="82" spans="1:18" s="6" customFormat="1" x14ac:dyDescent="0.3">
      <c r="A82" s="7" t="s">
        <v>145</v>
      </c>
      <c r="B82" s="54"/>
      <c r="C82" s="54"/>
      <c r="D82" s="54"/>
      <c r="E82" s="54">
        <v>6017.84</v>
      </c>
      <c r="F82" s="24">
        <f t="shared" ref="F82" si="8">H82+I82</f>
        <v>6017.84</v>
      </c>
      <c r="G82" s="27"/>
      <c r="H82" s="25"/>
      <c r="I82" s="29">
        <f t="shared" si="7"/>
        <v>6017.84</v>
      </c>
      <c r="J82" s="95"/>
      <c r="K82" s="95"/>
      <c r="L82" s="95"/>
      <c r="M82" s="95">
        <v>6017.84</v>
      </c>
      <c r="N82" s="95"/>
      <c r="O82" s="95"/>
      <c r="P82" s="95"/>
      <c r="Q82" s="95"/>
      <c r="R82" s="95"/>
    </row>
    <row r="83" spans="1:18" s="6" customFormat="1" x14ac:dyDescent="0.3">
      <c r="A83" s="19" t="s">
        <v>64</v>
      </c>
      <c r="B83" s="54"/>
      <c r="C83" s="54"/>
      <c r="D83" s="54"/>
      <c r="E83" s="54"/>
      <c r="F83" s="24"/>
      <c r="G83" s="27"/>
      <c r="H83" s="25"/>
      <c r="I83" s="29"/>
      <c r="J83" s="95"/>
      <c r="K83" s="95"/>
      <c r="L83" s="95"/>
      <c r="M83" s="95"/>
      <c r="N83" s="95"/>
      <c r="O83" s="95"/>
      <c r="P83" s="95"/>
      <c r="Q83" s="95"/>
      <c r="R83" s="95"/>
    </row>
    <row r="84" spans="1:18" s="6" customFormat="1" x14ac:dyDescent="0.3">
      <c r="A84" s="7" t="s">
        <v>129</v>
      </c>
      <c r="B84" s="54"/>
      <c r="C84" s="54">
        <v>2215.5100000000002</v>
      </c>
      <c r="D84" s="54"/>
      <c r="E84" s="54"/>
      <c r="F84" s="24">
        <f>H84+I84</f>
        <v>2215.5100000000002</v>
      </c>
      <c r="G84" s="27"/>
      <c r="H84" s="25"/>
      <c r="I84" s="29">
        <f t="shared" si="7"/>
        <v>2215.5100000000002</v>
      </c>
      <c r="J84" s="95"/>
      <c r="K84" s="95">
        <v>2215.5100000000002</v>
      </c>
      <c r="L84" s="95"/>
      <c r="M84" s="95"/>
      <c r="N84" s="95"/>
      <c r="O84" s="95"/>
      <c r="P84" s="95"/>
      <c r="Q84" s="95"/>
      <c r="R84" s="95"/>
    </row>
    <row r="85" spans="1:18" s="6" customFormat="1" x14ac:dyDescent="0.3">
      <c r="A85" s="7" t="s">
        <v>153</v>
      </c>
      <c r="B85" s="54"/>
      <c r="C85" s="54">
        <f>2000+145.2</f>
        <v>2145.1999999999998</v>
      </c>
      <c r="D85" s="54"/>
      <c r="E85" s="54"/>
      <c r="F85" s="24">
        <f>H85+I85</f>
        <v>2145.1999999999998</v>
      </c>
      <c r="G85" s="27"/>
      <c r="H85" s="25">
        <v>145.19999999999999</v>
      </c>
      <c r="I85" s="29">
        <f t="shared" si="7"/>
        <v>2000</v>
      </c>
      <c r="J85" s="95"/>
      <c r="K85" s="95">
        <v>2000</v>
      </c>
      <c r="L85" s="95"/>
      <c r="M85" s="95"/>
      <c r="N85" s="95"/>
      <c r="O85" s="95"/>
      <c r="P85" s="95"/>
      <c r="Q85" s="95"/>
      <c r="R85" s="95"/>
    </row>
    <row r="86" spans="1:18" s="6" customFormat="1" x14ac:dyDescent="0.3">
      <c r="A86" s="7" t="s">
        <v>65</v>
      </c>
      <c r="B86" s="54"/>
      <c r="C86" s="54"/>
      <c r="D86" s="54"/>
      <c r="E86" s="54">
        <v>2999.99</v>
      </c>
      <c r="F86" s="24">
        <f>H86+I86</f>
        <v>2999.99</v>
      </c>
      <c r="G86" s="27"/>
      <c r="H86" s="25"/>
      <c r="I86" s="29">
        <f t="shared" si="7"/>
        <v>2999.99</v>
      </c>
      <c r="J86" s="95"/>
      <c r="K86" s="95">
        <v>2999.99</v>
      </c>
      <c r="L86" s="95"/>
      <c r="M86" s="95"/>
      <c r="N86" s="95"/>
      <c r="O86" s="95"/>
      <c r="P86" s="95"/>
      <c r="Q86" s="95"/>
      <c r="R86" s="95"/>
    </row>
    <row r="87" spans="1:18" s="6" customFormat="1" x14ac:dyDescent="0.3">
      <c r="A87" s="19" t="s">
        <v>66</v>
      </c>
      <c r="B87" s="54"/>
      <c r="C87" s="54"/>
      <c r="D87" s="54"/>
      <c r="E87" s="54"/>
      <c r="F87" s="24"/>
      <c r="G87" s="27"/>
      <c r="H87" s="25"/>
      <c r="I87" s="29"/>
      <c r="J87" s="96"/>
      <c r="K87" s="96"/>
      <c r="L87" s="96"/>
      <c r="M87" s="96"/>
      <c r="N87" s="96"/>
      <c r="O87" s="96"/>
      <c r="P87" s="96"/>
      <c r="Q87" s="96"/>
      <c r="R87" s="96"/>
    </row>
    <row r="88" spans="1:18" s="6" customFormat="1" x14ac:dyDescent="0.3">
      <c r="A88" s="7" t="s">
        <v>67</v>
      </c>
      <c r="B88" s="54">
        <v>4126.84</v>
      </c>
      <c r="C88" s="54">
        <v>900.7</v>
      </c>
      <c r="D88" s="54">
        <v>16130.29</v>
      </c>
      <c r="E88" s="54">
        <v>3000.8</v>
      </c>
      <c r="F88" s="24">
        <f>H88+I88</f>
        <v>24158.63</v>
      </c>
      <c r="G88" s="27"/>
      <c r="H88" s="25">
        <v>24158.63</v>
      </c>
      <c r="I88" s="29">
        <f t="shared" si="7"/>
        <v>0</v>
      </c>
      <c r="J88" s="96"/>
      <c r="K88" s="96"/>
      <c r="L88" s="96"/>
      <c r="M88" s="96"/>
      <c r="N88" s="96"/>
      <c r="O88" s="96"/>
      <c r="P88" s="96"/>
      <c r="Q88" s="96"/>
      <c r="R88" s="96"/>
    </row>
    <row r="89" spans="1:18" s="6" customFormat="1" x14ac:dyDescent="0.3">
      <c r="A89" s="7" t="s">
        <v>68</v>
      </c>
      <c r="B89" s="54">
        <v>27712.73</v>
      </c>
      <c r="C89" s="54">
        <f>12247.34+2881.43</f>
        <v>15128.77</v>
      </c>
      <c r="D89" s="54">
        <v>17302.72</v>
      </c>
      <c r="E89" s="54">
        <v>25471.01</v>
      </c>
      <c r="F89" s="24">
        <f>H89+I89</f>
        <v>85615.23</v>
      </c>
      <c r="G89" s="27"/>
      <c r="H89" s="25"/>
      <c r="I89" s="29">
        <f t="shared" si="7"/>
        <v>85615.23</v>
      </c>
      <c r="J89" s="95"/>
      <c r="K89" s="95">
        <f>78412.18+7203.05</f>
        <v>85615.23</v>
      </c>
      <c r="L89" s="95"/>
      <c r="M89" s="95"/>
      <c r="N89" s="95"/>
      <c r="O89" s="95"/>
      <c r="P89" s="95"/>
      <c r="Q89" s="95"/>
      <c r="R89" s="95"/>
    </row>
    <row r="90" spans="1:18" s="6" customFormat="1" x14ac:dyDescent="0.3">
      <c r="A90" s="7" t="s">
        <v>69</v>
      </c>
      <c r="B90" s="54"/>
      <c r="C90" s="54">
        <v>155.57</v>
      </c>
      <c r="D90" s="54">
        <v>466.71</v>
      </c>
      <c r="E90" s="54">
        <v>466.71</v>
      </c>
      <c r="F90" s="24">
        <f>H90+I90</f>
        <v>1088.99</v>
      </c>
      <c r="G90" s="27"/>
      <c r="H90" s="25"/>
      <c r="I90" s="29">
        <f t="shared" si="7"/>
        <v>1088.99</v>
      </c>
      <c r="J90" s="95"/>
      <c r="K90" s="95"/>
      <c r="L90" s="95">
        <v>1088.99</v>
      </c>
      <c r="M90" s="95"/>
      <c r="N90" s="95"/>
      <c r="O90" s="95"/>
      <c r="P90" s="95"/>
      <c r="Q90" s="95"/>
      <c r="R90" s="95"/>
    </row>
    <row r="91" spans="1:18" s="6" customFormat="1" x14ac:dyDescent="0.3">
      <c r="A91" s="7" t="s">
        <v>70</v>
      </c>
      <c r="B91" s="54">
        <v>2629.71</v>
      </c>
      <c r="C91" s="54">
        <v>1179.07</v>
      </c>
      <c r="D91" s="54">
        <v>1722.21</v>
      </c>
      <c r="E91" s="54">
        <v>814.71</v>
      </c>
      <c r="F91" s="24">
        <f>H91+I91</f>
        <v>6345.7</v>
      </c>
      <c r="G91" s="27"/>
      <c r="H91" s="25"/>
      <c r="I91" s="29">
        <f t="shared" si="7"/>
        <v>6345.7</v>
      </c>
      <c r="J91" s="95">
        <v>6345.7</v>
      </c>
      <c r="K91" s="95"/>
      <c r="L91" s="95"/>
      <c r="M91" s="95"/>
      <c r="N91" s="95"/>
      <c r="O91" s="95"/>
      <c r="P91" s="95"/>
      <c r="Q91" s="95"/>
      <c r="R91" s="95"/>
    </row>
    <row r="92" spans="1:18" customFormat="1" x14ac:dyDescent="0.3">
      <c r="A92" s="20" t="s">
        <v>71</v>
      </c>
      <c r="B92" s="54"/>
      <c r="C92" s="54"/>
      <c r="D92" s="54"/>
      <c r="E92" s="54"/>
      <c r="F92" s="24"/>
      <c r="G92" s="27"/>
      <c r="H92" s="30"/>
      <c r="I92" s="31"/>
      <c r="J92" s="94"/>
      <c r="K92" s="94"/>
      <c r="L92" s="94"/>
      <c r="M92" s="94"/>
      <c r="N92" s="94"/>
      <c r="O92" s="94"/>
      <c r="P92" s="94"/>
      <c r="Q92" s="94"/>
      <c r="R92" s="94"/>
    </row>
    <row r="93" spans="1:18" customFormat="1" x14ac:dyDescent="0.3">
      <c r="A93" s="21" t="s">
        <v>72</v>
      </c>
      <c r="B93" s="54">
        <f>73118.7+833.3</f>
        <v>73952</v>
      </c>
      <c r="C93" s="54"/>
      <c r="D93" s="54"/>
      <c r="E93" s="54"/>
      <c r="F93" s="24">
        <f>H93+I93</f>
        <v>73952</v>
      </c>
      <c r="G93" s="27"/>
      <c r="H93" s="30">
        <v>833.3</v>
      </c>
      <c r="I93" s="31">
        <f>SUM(J93:R93)</f>
        <v>73118.7</v>
      </c>
      <c r="J93" s="94">
        <v>38698.71</v>
      </c>
      <c r="K93" s="94"/>
      <c r="L93" s="94">
        <v>34419.99</v>
      </c>
      <c r="M93" s="94"/>
      <c r="N93" s="94"/>
      <c r="O93" s="94"/>
      <c r="P93" s="94"/>
      <c r="Q93" s="94"/>
      <c r="R93" s="94"/>
    </row>
    <row r="94" spans="1:18" customFormat="1" x14ac:dyDescent="0.3">
      <c r="A94" s="20" t="s">
        <v>73</v>
      </c>
      <c r="B94" s="54"/>
      <c r="C94" s="54"/>
      <c r="D94" s="54"/>
      <c r="E94" s="54"/>
      <c r="F94" s="24"/>
      <c r="G94" s="27"/>
      <c r="H94" s="30"/>
      <c r="I94" s="31"/>
      <c r="J94" s="94"/>
      <c r="K94" s="94"/>
      <c r="L94" s="94"/>
      <c r="M94" s="94"/>
      <c r="N94" s="94"/>
      <c r="O94" s="94"/>
      <c r="P94" s="94"/>
      <c r="Q94" s="94"/>
      <c r="R94" s="94"/>
    </row>
    <row r="95" spans="1:18" customFormat="1" x14ac:dyDescent="0.3">
      <c r="A95" s="11" t="s">
        <v>137</v>
      </c>
      <c r="B95" s="54">
        <v>25410</v>
      </c>
      <c r="C95" s="54"/>
      <c r="D95" s="54"/>
      <c r="E95" s="54"/>
      <c r="F95" s="24">
        <f t="shared" ref="F95:F105" si="9">H95+I95</f>
        <v>25410</v>
      </c>
      <c r="G95" s="27"/>
      <c r="H95" s="30"/>
      <c r="I95" s="31">
        <f t="shared" ref="I95:I165" si="10">SUM(J95:R95)</f>
        <v>25410</v>
      </c>
      <c r="J95" s="98"/>
      <c r="K95" s="98">
        <v>25410</v>
      </c>
      <c r="L95" s="98"/>
      <c r="M95" s="98"/>
      <c r="N95" s="94"/>
      <c r="O95" s="94"/>
      <c r="P95" s="94"/>
      <c r="Q95" s="94"/>
      <c r="R95" s="94"/>
    </row>
    <row r="96" spans="1:18" customFormat="1" x14ac:dyDescent="0.3">
      <c r="A96" s="11" t="s">
        <v>74</v>
      </c>
      <c r="B96" s="54">
        <f>323590.28+198399.08</f>
        <v>521989.36</v>
      </c>
      <c r="C96" s="54"/>
      <c r="D96" s="54"/>
      <c r="E96" s="54"/>
      <c r="F96" s="24">
        <f t="shared" si="9"/>
        <v>521989.36000000004</v>
      </c>
      <c r="G96" s="27"/>
      <c r="H96" s="30">
        <v>24135</v>
      </c>
      <c r="I96" s="31">
        <f t="shared" si="10"/>
        <v>497854.36000000004</v>
      </c>
      <c r="J96" s="98">
        <v>33514.36</v>
      </c>
      <c r="K96" s="98">
        <v>8656.07</v>
      </c>
      <c r="L96" s="98">
        <v>55388.250000000022</v>
      </c>
      <c r="M96" s="98">
        <v>96351.799999999988</v>
      </c>
      <c r="N96" s="94">
        <v>4488.6000000000004</v>
      </c>
      <c r="O96" s="94"/>
      <c r="P96" s="94">
        <v>299455.28000000003</v>
      </c>
      <c r="Q96" s="94"/>
      <c r="R96" s="94"/>
    </row>
    <row r="97" spans="1:18" customFormat="1" x14ac:dyDescent="0.3">
      <c r="A97" s="11" t="s">
        <v>75</v>
      </c>
      <c r="B97" s="54">
        <f>15502.73+11882.2</f>
        <v>27384.93</v>
      </c>
      <c r="C97" s="54"/>
      <c r="D97" s="54">
        <v>4210.59</v>
      </c>
      <c r="E97" s="54">
        <v>3922.27</v>
      </c>
      <c r="F97" s="24">
        <f t="shared" si="9"/>
        <v>35517.79</v>
      </c>
      <c r="G97" s="27"/>
      <c r="H97" s="30">
        <f>9505.76+2376.44</f>
        <v>11882.2</v>
      </c>
      <c r="I97" s="31">
        <f t="shared" si="10"/>
        <v>23635.59</v>
      </c>
      <c r="J97" s="98">
        <v>10621.61</v>
      </c>
      <c r="K97" s="98">
        <v>13013.98</v>
      </c>
      <c r="L97" s="98"/>
      <c r="M97" s="98"/>
      <c r="N97" s="94"/>
      <c r="O97" s="94"/>
      <c r="P97" s="94"/>
      <c r="Q97" s="94"/>
      <c r="R97" s="94"/>
    </row>
    <row r="98" spans="1:18" customFormat="1" x14ac:dyDescent="0.3">
      <c r="A98" s="10" t="s">
        <v>76</v>
      </c>
      <c r="B98" s="54">
        <f>17727.13+14520</f>
        <v>32247.13</v>
      </c>
      <c r="C98" s="54"/>
      <c r="D98" s="54">
        <v>7270.87</v>
      </c>
      <c r="E98" s="54"/>
      <c r="F98" s="24">
        <f t="shared" si="9"/>
        <v>39518</v>
      </c>
      <c r="G98" s="27"/>
      <c r="H98" s="30">
        <v>14520</v>
      </c>
      <c r="I98" s="31">
        <f t="shared" si="10"/>
        <v>24998</v>
      </c>
      <c r="J98" s="98"/>
      <c r="K98" s="98"/>
      <c r="L98" s="98">
        <v>24998</v>
      </c>
      <c r="M98" s="98"/>
      <c r="N98" s="94"/>
      <c r="O98" s="94"/>
      <c r="P98" s="94"/>
      <c r="Q98" s="94"/>
      <c r="R98" s="94"/>
    </row>
    <row r="99" spans="1:18" customFormat="1" x14ac:dyDescent="0.3">
      <c r="A99" s="11" t="s">
        <v>136</v>
      </c>
      <c r="B99" s="54">
        <v>10886.9</v>
      </c>
      <c r="C99" s="54">
        <v>5468.09</v>
      </c>
      <c r="D99" s="54">
        <v>13596.31</v>
      </c>
      <c r="E99" s="54">
        <v>13596.31</v>
      </c>
      <c r="F99" s="24">
        <f t="shared" si="9"/>
        <v>43547.61</v>
      </c>
      <c r="G99" s="27"/>
      <c r="H99" s="30"/>
      <c r="I99" s="31">
        <f t="shared" si="10"/>
        <v>43547.61</v>
      </c>
      <c r="J99" s="98"/>
      <c r="K99" s="98"/>
      <c r="L99" s="98">
        <v>43547.61</v>
      </c>
      <c r="M99" s="98"/>
      <c r="N99" s="94"/>
      <c r="O99" s="94"/>
      <c r="P99" s="94"/>
      <c r="Q99" s="94"/>
      <c r="R99" s="94"/>
    </row>
    <row r="100" spans="1:18" customFormat="1" x14ac:dyDescent="0.3">
      <c r="A100" s="10" t="s">
        <v>77</v>
      </c>
      <c r="B100" s="54"/>
      <c r="C100" s="54">
        <v>7181.43</v>
      </c>
      <c r="D100" s="54"/>
      <c r="E100" s="54"/>
      <c r="F100" s="24">
        <f t="shared" si="9"/>
        <v>7181.43</v>
      </c>
      <c r="G100" s="27"/>
      <c r="H100" s="30"/>
      <c r="I100" s="31">
        <f t="shared" si="10"/>
        <v>7181.43</v>
      </c>
      <c r="J100" s="98"/>
      <c r="K100" s="98">
        <v>3988.46</v>
      </c>
      <c r="L100" s="98">
        <v>3192.9700000000003</v>
      </c>
      <c r="M100" s="98"/>
      <c r="N100" s="94"/>
      <c r="O100" s="94"/>
      <c r="P100" s="94"/>
      <c r="Q100" s="94"/>
      <c r="R100" s="94"/>
    </row>
    <row r="101" spans="1:18" customFormat="1" x14ac:dyDescent="0.3">
      <c r="A101" s="10" t="s">
        <v>78</v>
      </c>
      <c r="B101" s="54"/>
      <c r="C101" s="54"/>
      <c r="D101" s="54">
        <v>9611.0499999999993</v>
      </c>
      <c r="E101" s="54">
        <v>6782.25</v>
      </c>
      <c r="F101" s="24">
        <f t="shared" si="9"/>
        <v>16393.300000000003</v>
      </c>
      <c r="G101" s="27"/>
      <c r="H101" s="30"/>
      <c r="I101" s="31">
        <f t="shared" si="10"/>
        <v>16393.300000000003</v>
      </c>
      <c r="J101" s="98"/>
      <c r="K101" s="98">
        <v>3459.03</v>
      </c>
      <c r="L101" s="98">
        <v>9611.0500000000011</v>
      </c>
      <c r="M101" s="98">
        <v>3323.22</v>
      </c>
      <c r="N101" s="94"/>
      <c r="O101" s="94"/>
      <c r="P101" s="94"/>
      <c r="Q101" s="94"/>
      <c r="R101" s="94"/>
    </row>
    <row r="102" spans="1:18" customFormat="1" x14ac:dyDescent="0.3">
      <c r="A102" s="10" t="s">
        <v>144</v>
      </c>
      <c r="B102" s="54"/>
      <c r="C102" s="54"/>
      <c r="D102" s="54"/>
      <c r="E102" s="54">
        <v>822</v>
      </c>
      <c r="F102" s="24">
        <f t="shared" si="9"/>
        <v>822</v>
      </c>
      <c r="G102" s="27"/>
      <c r="H102" s="30"/>
      <c r="I102" s="31">
        <f t="shared" si="10"/>
        <v>822</v>
      </c>
      <c r="J102" s="98"/>
      <c r="K102" s="98"/>
      <c r="L102" s="98">
        <v>822</v>
      </c>
      <c r="M102" s="98"/>
      <c r="N102" s="94"/>
      <c r="O102" s="94"/>
      <c r="P102" s="94"/>
      <c r="Q102" s="94"/>
      <c r="R102" s="94"/>
    </row>
    <row r="103" spans="1:18" customFormat="1" x14ac:dyDescent="0.3">
      <c r="A103" s="10" t="s">
        <v>156</v>
      </c>
      <c r="B103" s="54"/>
      <c r="C103" s="54">
        <f>3920.4+2866+5445+6655</f>
        <v>18886.400000000001</v>
      </c>
      <c r="D103" s="54"/>
      <c r="E103" s="54"/>
      <c r="F103" s="24">
        <f t="shared" si="9"/>
        <v>18886.400000000001</v>
      </c>
      <c r="G103" s="27"/>
      <c r="H103" s="30">
        <f>3581.6+338.8+2866</f>
        <v>6786.4</v>
      </c>
      <c r="I103" s="31">
        <f t="shared" ref="I103:I104" si="11">SUM(J103:R103)</f>
        <v>12100</v>
      </c>
      <c r="J103" s="98"/>
      <c r="K103" s="98"/>
      <c r="L103" s="98">
        <v>6655</v>
      </c>
      <c r="M103" s="98"/>
      <c r="N103" s="94"/>
      <c r="O103" s="94"/>
      <c r="P103" s="94"/>
      <c r="Q103" s="94"/>
      <c r="R103" s="94">
        <v>5445</v>
      </c>
    </row>
    <row r="104" spans="1:18" customFormat="1" x14ac:dyDescent="0.3">
      <c r="A104" s="10" t="s">
        <v>157</v>
      </c>
      <c r="B104" s="54"/>
      <c r="C104" s="54">
        <f>895.4+3630+896.61</f>
        <v>5422.0099999999993</v>
      </c>
      <c r="D104" s="54"/>
      <c r="E104" s="54"/>
      <c r="F104" s="24">
        <f t="shared" si="9"/>
        <v>5422.0099999999993</v>
      </c>
      <c r="G104" s="27"/>
      <c r="H104" s="30">
        <v>895.4</v>
      </c>
      <c r="I104" s="31">
        <f t="shared" si="11"/>
        <v>4526.6099999999997</v>
      </c>
      <c r="J104" s="98"/>
      <c r="K104" s="98"/>
      <c r="L104" s="98">
        <v>896.61</v>
      </c>
      <c r="M104" s="98"/>
      <c r="N104" s="94"/>
      <c r="O104" s="94"/>
      <c r="P104" s="94"/>
      <c r="Q104" s="94"/>
      <c r="R104" s="94">
        <v>3630</v>
      </c>
    </row>
    <row r="105" spans="1:18" customFormat="1" x14ac:dyDescent="0.3">
      <c r="A105" s="67" t="s">
        <v>145</v>
      </c>
      <c r="B105" s="54">
        <f>1296.03*2</f>
        <v>2592.06</v>
      </c>
      <c r="C105" s="54"/>
      <c r="D105" s="54"/>
      <c r="E105" s="54"/>
      <c r="F105" s="24">
        <f t="shared" si="9"/>
        <v>2592.06</v>
      </c>
      <c r="G105" s="27"/>
      <c r="H105" s="30"/>
      <c r="I105" s="31">
        <f t="shared" si="10"/>
        <v>2592.06</v>
      </c>
      <c r="J105" s="98"/>
      <c r="K105" s="98"/>
      <c r="L105" s="98"/>
      <c r="M105" s="98">
        <f>1296.03*2</f>
        <v>2592.06</v>
      </c>
      <c r="N105" s="94"/>
      <c r="O105" s="94"/>
      <c r="P105" s="94"/>
      <c r="Q105" s="94"/>
      <c r="R105" s="94"/>
    </row>
    <row r="106" spans="1:18" customFormat="1" x14ac:dyDescent="0.3">
      <c r="A106" s="20" t="s">
        <v>79</v>
      </c>
      <c r="B106" s="54"/>
      <c r="C106" s="54"/>
      <c r="D106" s="54"/>
      <c r="E106" s="54"/>
      <c r="F106" s="24"/>
      <c r="G106" s="27"/>
      <c r="H106" s="30"/>
      <c r="I106" s="31"/>
      <c r="J106" s="94"/>
      <c r="K106" s="94"/>
      <c r="L106" s="94"/>
      <c r="M106" s="94"/>
      <c r="N106" s="94"/>
      <c r="O106" s="94"/>
      <c r="P106" s="94"/>
      <c r="Q106" s="94"/>
      <c r="R106" s="94"/>
    </row>
    <row r="107" spans="1:18" customFormat="1" x14ac:dyDescent="0.3">
      <c r="A107" s="10" t="s">
        <v>130</v>
      </c>
      <c r="B107" s="54">
        <v>6877.99</v>
      </c>
      <c r="C107" s="54"/>
      <c r="D107" s="54"/>
      <c r="E107" s="54"/>
      <c r="F107" s="24">
        <f t="shared" ref="F107:F113" si="12">H107+I107</f>
        <v>6877.99</v>
      </c>
      <c r="G107" s="27"/>
      <c r="H107" s="30"/>
      <c r="I107" s="31">
        <f t="shared" si="10"/>
        <v>6877.99</v>
      </c>
      <c r="J107" s="94"/>
      <c r="K107" s="94"/>
      <c r="L107" s="94"/>
      <c r="M107" s="98">
        <v>6877.99</v>
      </c>
      <c r="N107" s="94"/>
      <c r="O107" s="94"/>
      <c r="P107" s="94"/>
      <c r="Q107" s="94"/>
      <c r="R107" s="94"/>
    </row>
    <row r="108" spans="1:18" customFormat="1" x14ac:dyDescent="0.3">
      <c r="A108" s="10" t="s">
        <v>131</v>
      </c>
      <c r="B108" s="54">
        <v>26212.85</v>
      </c>
      <c r="C108" s="54"/>
      <c r="D108" s="54"/>
      <c r="E108" s="54"/>
      <c r="F108" s="24">
        <f t="shared" si="12"/>
        <v>26212.850000000002</v>
      </c>
      <c r="G108" s="27"/>
      <c r="H108" s="30"/>
      <c r="I108" s="31">
        <f t="shared" si="10"/>
        <v>26212.850000000002</v>
      </c>
      <c r="J108" s="94"/>
      <c r="K108" s="94"/>
      <c r="L108" s="94"/>
      <c r="M108" s="98">
        <v>26212.850000000002</v>
      </c>
      <c r="N108" s="94"/>
      <c r="O108" s="94"/>
      <c r="P108" s="94"/>
      <c r="Q108" s="94"/>
      <c r="R108" s="94"/>
    </row>
    <row r="109" spans="1:18" customFormat="1" x14ac:dyDescent="0.3">
      <c r="A109" s="10" t="s">
        <v>80</v>
      </c>
      <c r="B109" s="54"/>
      <c r="C109" s="54">
        <v>12305.58</v>
      </c>
      <c r="D109" s="54"/>
      <c r="E109" s="54"/>
      <c r="F109" s="24">
        <f t="shared" si="12"/>
        <v>12305.580000000002</v>
      </c>
      <c r="G109" s="27"/>
      <c r="H109" s="30"/>
      <c r="I109" s="31">
        <f t="shared" si="10"/>
        <v>12305.580000000002</v>
      </c>
      <c r="J109" s="94"/>
      <c r="K109" s="94"/>
      <c r="L109" s="94"/>
      <c r="M109" s="98">
        <v>12305.580000000002</v>
      </c>
      <c r="N109" s="94"/>
      <c r="O109" s="94"/>
      <c r="P109" s="94"/>
      <c r="Q109" s="94"/>
      <c r="R109" s="94"/>
    </row>
    <row r="110" spans="1:18" customFormat="1" x14ac:dyDescent="0.3">
      <c r="A110" s="10" t="s">
        <v>132</v>
      </c>
      <c r="B110" s="54"/>
      <c r="C110" s="54"/>
      <c r="D110" s="54">
        <v>10807.87</v>
      </c>
      <c r="E110" s="54"/>
      <c r="F110" s="24">
        <f t="shared" si="12"/>
        <v>10807.869999999999</v>
      </c>
      <c r="G110" s="27"/>
      <c r="H110" s="30"/>
      <c r="I110" s="31">
        <f t="shared" si="10"/>
        <v>10807.869999999999</v>
      </c>
      <c r="J110" s="94"/>
      <c r="K110" s="94"/>
      <c r="L110" s="94"/>
      <c r="M110" s="98">
        <v>10807.869999999999</v>
      </c>
      <c r="N110" s="94"/>
      <c r="O110" s="94"/>
      <c r="P110" s="94"/>
      <c r="Q110" s="94"/>
      <c r="R110" s="94"/>
    </row>
    <row r="111" spans="1:18" customFormat="1" x14ac:dyDescent="0.3">
      <c r="A111" s="10" t="s">
        <v>133</v>
      </c>
      <c r="B111" s="54"/>
      <c r="C111" s="54"/>
      <c r="D111" s="54">
        <v>10807.87</v>
      </c>
      <c r="E111" s="54"/>
      <c r="F111" s="24">
        <f t="shared" si="12"/>
        <v>10807.869999999999</v>
      </c>
      <c r="G111" s="27"/>
      <c r="H111" s="30"/>
      <c r="I111" s="31">
        <f t="shared" si="10"/>
        <v>10807.869999999999</v>
      </c>
      <c r="J111" s="94"/>
      <c r="K111" s="94"/>
      <c r="L111" s="94"/>
      <c r="M111" s="98">
        <v>10807.869999999999</v>
      </c>
      <c r="N111" s="94"/>
      <c r="O111" s="94"/>
      <c r="P111" s="94"/>
      <c r="Q111" s="94"/>
      <c r="R111" s="94"/>
    </row>
    <row r="112" spans="1:18" customFormat="1" x14ac:dyDescent="0.3">
      <c r="A112" s="10" t="s">
        <v>81</v>
      </c>
      <c r="B112" s="54"/>
      <c r="C112" s="54"/>
      <c r="D112" s="54"/>
      <c r="E112" s="54">
        <v>6877.99</v>
      </c>
      <c r="F112" s="24">
        <f t="shared" si="12"/>
        <v>6877.99</v>
      </c>
      <c r="G112" s="27"/>
      <c r="H112" s="30"/>
      <c r="I112" s="31">
        <f t="shared" si="10"/>
        <v>6877.99</v>
      </c>
      <c r="J112" s="94"/>
      <c r="K112" s="94"/>
      <c r="L112" s="94"/>
      <c r="M112" s="98">
        <v>6877.99</v>
      </c>
      <c r="N112" s="94"/>
      <c r="O112" s="94"/>
      <c r="P112" s="94"/>
      <c r="Q112" s="94"/>
      <c r="R112" s="94"/>
    </row>
    <row r="113" spans="1:18" customFormat="1" x14ac:dyDescent="0.3">
      <c r="A113" s="10" t="s">
        <v>82</v>
      </c>
      <c r="B113" s="54"/>
      <c r="C113" s="54"/>
      <c r="D113" s="54"/>
      <c r="E113" s="54">
        <v>21511.35</v>
      </c>
      <c r="F113" s="24">
        <f t="shared" si="12"/>
        <v>21511.35</v>
      </c>
      <c r="G113" s="27"/>
      <c r="H113" s="30"/>
      <c r="I113" s="31">
        <f t="shared" si="10"/>
        <v>21511.35</v>
      </c>
      <c r="J113" s="94"/>
      <c r="K113" s="94"/>
      <c r="L113" s="94"/>
      <c r="M113" s="98">
        <v>21511.35</v>
      </c>
      <c r="N113" s="94"/>
      <c r="O113" s="94"/>
      <c r="P113" s="94"/>
      <c r="Q113" s="94"/>
      <c r="R113" s="94"/>
    </row>
    <row r="114" spans="1:18" customFormat="1" x14ac:dyDescent="0.3">
      <c r="A114" s="20" t="s">
        <v>83</v>
      </c>
      <c r="B114" s="54"/>
      <c r="C114" s="54"/>
      <c r="D114" s="54"/>
      <c r="E114" s="54"/>
      <c r="F114" s="24"/>
      <c r="G114" s="27"/>
      <c r="H114" s="30"/>
      <c r="I114" s="31"/>
      <c r="J114" s="94"/>
      <c r="K114" s="94"/>
      <c r="L114" s="94"/>
      <c r="M114" s="94"/>
      <c r="N114" s="94"/>
      <c r="O114" s="94"/>
      <c r="P114" s="94"/>
      <c r="Q114" s="94"/>
      <c r="R114" s="94"/>
    </row>
    <row r="115" spans="1:18" customFormat="1" x14ac:dyDescent="0.3">
      <c r="A115" s="21" t="s">
        <v>84</v>
      </c>
      <c r="B115" s="54"/>
      <c r="C115" s="54"/>
      <c r="D115" s="54">
        <f>6035+19027.17</f>
        <v>25062.17</v>
      </c>
      <c r="E115" s="54"/>
      <c r="F115" s="24">
        <f>H115+I115</f>
        <v>25062.17</v>
      </c>
      <c r="G115" s="27"/>
      <c r="H115" s="30">
        <f>2063.05+16964.12</f>
        <v>19027.169999999998</v>
      </c>
      <c r="I115" s="31">
        <f t="shared" si="10"/>
        <v>6035</v>
      </c>
      <c r="J115" s="94">
        <v>6035</v>
      </c>
      <c r="K115" s="94"/>
      <c r="L115" s="94"/>
      <c r="M115" s="94"/>
      <c r="N115" s="94"/>
      <c r="O115" s="94"/>
      <c r="P115" s="94"/>
      <c r="Q115" s="94"/>
      <c r="R115" s="94"/>
    </row>
    <row r="116" spans="1:18" customFormat="1" x14ac:dyDescent="0.3">
      <c r="A116" s="11" t="s">
        <v>85</v>
      </c>
      <c r="B116" s="54"/>
      <c r="C116" s="54"/>
      <c r="D116" s="54"/>
      <c r="E116" s="54">
        <v>13831.82</v>
      </c>
      <c r="F116" s="24">
        <f>H116+I116</f>
        <v>13831.82</v>
      </c>
      <c r="G116" s="27"/>
      <c r="H116" s="30"/>
      <c r="I116" s="31">
        <f t="shared" si="10"/>
        <v>13831.82</v>
      </c>
      <c r="J116" s="94">
        <v>13831.82</v>
      </c>
      <c r="K116" s="94"/>
      <c r="L116" s="94"/>
      <c r="M116" s="94"/>
      <c r="N116" s="94"/>
      <c r="O116" s="94"/>
      <c r="P116" s="94"/>
      <c r="Q116" s="94"/>
      <c r="R116" s="94"/>
    </row>
    <row r="117" spans="1:18" customFormat="1" x14ac:dyDescent="0.3">
      <c r="A117" s="20" t="s">
        <v>86</v>
      </c>
      <c r="B117" s="54"/>
      <c r="C117" s="54"/>
      <c r="D117" s="54"/>
      <c r="E117" s="54"/>
      <c r="F117" s="24"/>
      <c r="G117" s="27"/>
      <c r="H117" s="30"/>
      <c r="I117" s="31"/>
      <c r="J117" s="94"/>
      <c r="K117" s="94"/>
      <c r="L117" s="94"/>
      <c r="M117" s="94"/>
      <c r="N117" s="94"/>
      <c r="O117" s="94"/>
      <c r="P117" s="94"/>
      <c r="Q117" s="94"/>
      <c r="R117" s="94"/>
    </row>
    <row r="118" spans="1:18" customFormat="1" x14ac:dyDescent="0.3">
      <c r="A118" s="47" t="s">
        <v>152</v>
      </c>
      <c r="B118" s="54">
        <v>41490.58</v>
      </c>
      <c r="C118" s="54">
        <v>23964.6</v>
      </c>
      <c r="D118" s="54">
        <v>33739.57</v>
      </c>
      <c r="E118" s="54">
        <f>1506.81+51670.25</f>
        <v>53177.06</v>
      </c>
      <c r="F118" s="24">
        <f t="shared" ref="F118:F124" si="13">H118+I118</f>
        <v>152371.81</v>
      </c>
      <c r="G118" s="27"/>
      <c r="H118" s="30">
        <v>0</v>
      </c>
      <c r="I118" s="31">
        <f>SUM(J118:R118)</f>
        <v>152371.81</v>
      </c>
      <c r="J118" s="98">
        <f>8098.49+1990.45</f>
        <v>10088.94</v>
      </c>
      <c r="K118" s="98">
        <f>66540.34+26330.21</f>
        <v>92870.549999999988</v>
      </c>
      <c r="L118" s="98">
        <f>19791.4+11020.28</f>
        <v>30811.68</v>
      </c>
      <c r="M118" s="98">
        <f>6271.33+12329.31</f>
        <v>18600.64</v>
      </c>
      <c r="N118" s="98">
        <v>0</v>
      </c>
      <c r="O118" s="98">
        <v>0</v>
      </c>
      <c r="P118" s="98">
        <v>0</v>
      </c>
      <c r="Q118" s="98">
        <v>0</v>
      </c>
      <c r="R118" s="98">
        <v>0</v>
      </c>
    </row>
    <row r="119" spans="1:18" customFormat="1" x14ac:dyDescent="0.3">
      <c r="A119" s="47" t="s">
        <v>165</v>
      </c>
      <c r="B119" s="54"/>
      <c r="C119" s="54"/>
      <c r="D119" s="54"/>
      <c r="E119" s="54">
        <v>13308.79</v>
      </c>
      <c r="F119" s="24">
        <f t="shared" si="13"/>
        <v>13308.79</v>
      </c>
      <c r="G119" s="27"/>
      <c r="H119" s="30"/>
      <c r="I119" s="31">
        <f t="shared" ref="I119:I124" si="14">SUM(J119:R119)</f>
        <v>13308.79</v>
      </c>
      <c r="J119" s="98"/>
      <c r="K119" s="98">
        <v>13308.79</v>
      </c>
      <c r="L119" s="98"/>
      <c r="M119" s="98"/>
      <c r="N119" s="98"/>
      <c r="O119" s="98"/>
      <c r="P119" s="98"/>
      <c r="Q119" s="98"/>
      <c r="R119" s="98"/>
    </row>
    <row r="120" spans="1:18" customFormat="1" x14ac:dyDescent="0.3">
      <c r="A120" s="47" t="s">
        <v>15</v>
      </c>
      <c r="B120" s="54"/>
      <c r="C120" s="54">
        <v>23776.720000000001</v>
      </c>
      <c r="D120" s="54">
        <v>16725.080000000002</v>
      </c>
      <c r="E120" s="54">
        <v>2994.75</v>
      </c>
      <c r="F120" s="24">
        <f t="shared" si="13"/>
        <v>43496.549999999996</v>
      </c>
      <c r="G120" s="27"/>
      <c r="H120" s="30"/>
      <c r="I120" s="31">
        <f t="shared" si="14"/>
        <v>43496.549999999996</v>
      </c>
      <c r="J120" s="98"/>
      <c r="K120" s="98"/>
      <c r="L120" s="98">
        <v>42092.95</v>
      </c>
      <c r="M120" s="98"/>
      <c r="N120" s="98">
        <v>1403.6</v>
      </c>
      <c r="O120" s="98"/>
      <c r="P120" s="98"/>
      <c r="Q120" s="98"/>
      <c r="R120" s="98"/>
    </row>
    <row r="121" spans="1:18" customFormat="1" x14ac:dyDescent="0.3">
      <c r="A121" s="47" t="s">
        <v>166</v>
      </c>
      <c r="B121" s="54">
        <v>3362.04</v>
      </c>
      <c r="C121" s="54">
        <v>3657.71</v>
      </c>
      <c r="D121" s="54">
        <v>3055.01</v>
      </c>
      <c r="E121" s="54">
        <v>2955.12</v>
      </c>
      <c r="F121" s="24">
        <f t="shared" si="13"/>
        <v>13029.88</v>
      </c>
      <c r="G121" s="27"/>
      <c r="H121" s="30">
        <v>0</v>
      </c>
      <c r="I121" s="31">
        <f t="shared" si="14"/>
        <v>13029.88</v>
      </c>
      <c r="J121" s="98">
        <v>0</v>
      </c>
      <c r="K121" s="98">
        <v>0</v>
      </c>
      <c r="L121" s="98">
        <v>0</v>
      </c>
      <c r="M121" s="98">
        <f>13029.88</f>
        <v>13029.88</v>
      </c>
      <c r="N121" s="98">
        <v>0</v>
      </c>
      <c r="O121" s="98">
        <v>0</v>
      </c>
      <c r="P121" s="98">
        <v>0</v>
      </c>
      <c r="Q121" s="98">
        <v>0</v>
      </c>
      <c r="R121" s="98">
        <v>0</v>
      </c>
    </row>
    <row r="122" spans="1:18" customFormat="1" x14ac:dyDescent="0.3">
      <c r="A122" s="47" t="s">
        <v>87</v>
      </c>
      <c r="B122" s="54">
        <v>37821.550000000003</v>
      </c>
      <c r="C122" s="54"/>
      <c r="D122" s="54"/>
      <c r="E122" s="54"/>
      <c r="F122" s="24">
        <f t="shared" si="13"/>
        <v>37821.549999999996</v>
      </c>
      <c r="G122" s="27"/>
      <c r="H122" s="30"/>
      <c r="I122" s="31">
        <f t="shared" si="14"/>
        <v>37821.549999999996</v>
      </c>
      <c r="J122" s="98">
        <v>6942.38</v>
      </c>
      <c r="K122" s="98">
        <v>1267.17</v>
      </c>
      <c r="L122" s="98">
        <v>4996.24</v>
      </c>
      <c r="M122" s="98">
        <v>24615.759999999998</v>
      </c>
      <c r="N122" s="98"/>
      <c r="O122" s="98"/>
      <c r="P122" s="98"/>
      <c r="Q122" s="98"/>
      <c r="R122" s="98"/>
    </row>
    <row r="123" spans="1:18" customFormat="1" x14ac:dyDescent="0.3">
      <c r="A123" s="47" t="s">
        <v>151</v>
      </c>
      <c r="B123" s="54">
        <v>51323.47</v>
      </c>
      <c r="C123" s="54"/>
      <c r="D123" s="54"/>
      <c r="E123" s="54"/>
      <c r="F123" s="24">
        <f t="shared" si="13"/>
        <v>51323.47</v>
      </c>
      <c r="G123" s="27"/>
      <c r="H123" s="30"/>
      <c r="I123" s="31">
        <f t="shared" si="14"/>
        <v>51323.47</v>
      </c>
      <c r="J123" s="98"/>
      <c r="K123" s="98">
        <v>21660.42</v>
      </c>
      <c r="L123" s="98">
        <v>10419.789999999999</v>
      </c>
      <c r="M123" s="98">
        <v>19243.260000000002</v>
      </c>
      <c r="N123" s="98"/>
      <c r="O123" s="98"/>
      <c r="P123" s="98"/>
      <c r="Q123" s="98"/>
      <c r="R123" s="98"/>
    </row>
    <row r="124" spans="1:18" customFormat="1" x14ac:dyDescent="0.3">
      <c r="A124" s="47" t="s">
        <v>167</v>
      </c>
      <c r="B124" s="54">
        <v>11494.33</v>
      </c>
      <c r="C124" s="54">
        <v>48558.59</v>
      </c>
      <c r="D124" s="54">
        <v>22933.18</v>
      </c>
      <c r="E124" s="54">
        <v>15044.02</v>
      </c>
      <c r="F124" s="24">
        <f t="shared" si="13"/>
        <v>98030.12</v>
      </c>
      <c r="G124" s="27"/>
      <c r="H124" s="30">
        <v>0</v>
      </c>
      <c r="I124" s="31">
        <f t="shared" si="14"/>
        <v>98030.12</v>
      </c>
      <c r="J124" s="98">
        <v>8111.73</v>
      </c>
      <c r="K124" s="98">
        <v>22992.28</v>
      </c>
      <c r="L124" s="98">
        <v>22042.240000000002</v>
      </c>
      <c r="M124" s="98">
        <v>44883.869999999995</v>
      </c>
      <c r="N124" s="98">
        <v>0</v>
      </c>
      <c r="O124" s="98">
        <v>0</v>
      </c>
      <c r="P124" s="98">
        <v>0</v>
      </c>
      <c r="Q124" s="98">
        <v>0</v>
      </c>
      <c r="R124" s="98">
        <v>0</v>
      </c>
    </row>
    <row r="125" spans="1:18" customFormat="1" x14ac:dyDescent="0.3">
      <c r="A125" s="20" t="s">
        <v>88</v>
      </c>
      <c r="B125" s="54"/>
      <c r="C125" s="54"/>
      <c r="D125" s="54"/>
      <c r="E125" s="54"/>
      <c r="F125" s="24"/>
      <c r="G125" s="27"/>
      <c r="H125" s="30"/>
      <c r="I125" s="31"/>
      <c r="J125" s="98"/>
      <c r="K125" s="98"/>
      <c r="L125" s="98"/>
      <c r="M125" s="98"/>
      <c r="N125" s="98"/>
      <c r="O125" s="98"/>
      <c r="P125" s="98"/>
      <c r="Q125" s="98"/>
      <c r="R125" s="98"/>
    </row>
    <row r="126" spans="1:18" customFormat="1" x14ac:dyDescent="0.3">
      <c r="A126" s="66" t="s">
        <v>89</v>
      </c>
      <c r="B126" s="54"/>
      <c r="C126" s="54">
        <f>31222.95+8716</f>
        <v>39938.949999999997</v>
      </c>
      <c r="D126" s="54"/>
      <c r="E126" s="54"/>
      <c r="F126" s="24">
        <f>H126+I126</f>
        <v>39938.949999999997</v>
      </c>
      <c r="G126" s="27"/>
      <c r="H126" s="30">
        <v>8716</v>
      </c>
      <c r="I126" s="31">
        <f t="shared" si="10"/>
        <v>31222.95</v>
      </c>
      <c r="J126" s="98">
        <v>9165.9699999999993</v>
      </c>
      <c r="K126" s="98">
        <v>853.35</v>
      </c>
      <c r="L126" s="98">
        <v>5544.09</v>
      </c>
      <c r="M126" s="98">
        <v>13844.54</v>
      </c>
      <c r="N126" s="98"/>
      <c r="O126" s="98">
        <v>1815</v>
      </c>
      <c r="P126" s="98"/>
      <c r="Q126" s="98"/>
      <c r="R126" s="98"/>
    </row>
    <row r="127" spans="1:18" customFormat="1" x14ac:dyDescent="0.3">
      <c r="A127" s="20" t="s">
        <v>90</v>
      </c>
      <c r="B127" s="54"/>
      <c r="C127" s="54"/>
      <c r="D127" s="54"/>
      <c r="E127" s="54"/>
      <c r="F127" s="24"/>
      <c r="G127" s="27"/>
      <c r="H127" s="30"/>
      <c r="I127" s="31"/>
      <c r="J127" s="98"/>
      <c r="K127" s="98"/>
      <c r="L127" s="98"/>
      <c r="M127" s="98"/>
      <c r="N127" s="98"/>
      <c r="O127" s="98"/>
      <c r="P127" s="98"/>
      <c r="Q127" s="98"/>
      <c r="R127" s="98"/>
    </row>
    <row r="128" spans="1:18" customFormat="1" x14ac:dyDescent="0.3">
      <c r="A128" s="20" t="s">
        <v>91</v>
      </c>
      <c r="B128" s="54"/>
      <c r="C128" s="54"/>
      <c r="D128" s="54"/>
      <c r="E128" s="54"/>
      <c r="F128" s="24"/>
      <c r="G128" s="27"/>
      <c r="H128" s="30"/>
      <c r="I128" s="31"/>
      <c r="J128" s="98"/>
      <c r="K128" s="98"/>
      <c r="L128" s="98"/>
      <c r="M128" s="98"/>
      <c r="N128" s="98"/>
      <c r="O128" s="98"/>
      <c r="P128" s="98"/>
      <c r="Q128" s="98"/>
      <c r="R128" s="98"/>
    </row>
    <row r="129" spans="1:18" customFormat="1" x14ac:dyDescent="0.3">
      <c r="A129" s="5" t="s">
        <v>154</v>
      </c>
      <c r="B129" s="54">
        <f>1905.75+3956.7</f>
        <v>5862.45</v>
      </c>
      <c r="C129" s="54">
        <v>1210</v>
      </c>
      <c r="D129" s="54">
        <v>132.30000000000001</v>
      </c>
      <c r="E129" s="54">
        <v>309.76</v>
      </c>
      <c r="F129" s="24">
        <f t="shared" ref="F129:F137" si="15">H129+I129</f>
        <v>7514.51</v>
      </c>
      <c r="G129" s="27"/>
      <c r="H129" s="30">
        <f>3270*1.21</f>
        <v>3956.7</v>
      </c>
      <c r="I129" s="31">
        <f t="shared" si="10"/>
        <v>3557.81</v>
      </c>
      <c r="J129" s="98"/>
      <c r="K129" s="98"/>
      <c r="L129" s="98">
        <v>3557.81</v>
      </c>
      <c r="M129" s="98"/>
      <c r="N129" s="98"/>
      <c r="O129" s="98"/>
      <c r="P129" s="98"/>
      <c r="Q129" s="98"/>
      <c r="R129" s="98"/>
    </row>
    <row r="130" spans="1:18" customFormat="1" x14ac:dyDescent="0.3">
      <c r="A130" s="5" t="s">
        <v>92</v>
      </c>
      <c r="B130" s="54"/>
      <c r="C130" s="54"/>
      <c r="D130" s="54">
        <f>1815+544.5</f>
        <v>2359.5</v>
      </c>
      <c r="E130" s="54"/>
      <c r="F130" s="24">
        <f t="shared" si="15"/>
        <v>2359.5</v>
      </c>
      <c r="G130" s="27"/>
      <c r="H130" s="30">
        <f>450*1.21</f>
        <v>544.5</v>
      </c>
      <c r="I130" s="31">
        <f t="shared" si="10"/>
        <v>1815</v>
      </c>
      <c r="J130" s="98"/>
      <c r="K130" s="98">
        <f>1500*1.21</f>
        <v>1815</v>
      </c>
      <c r="L130" s="98"/>
      <c r="M130" s="98"/>
      <c r="N130" s="98"/>
      <c r="O130" s="98"/>
      <c r="P130" s="98"/>
      <c r="Q130" s="98"/>
      <c r="R130" s="98"/>
    </row>
    <row r="131" spans="1:18" customFormat="1" x14ac:dyDescent="0.3">
      <c r="A131" s="5" t="s">
        <v>138</v>
      </c>
      <c r="B131" s="54"/>
      <c r="C131" s="54"/>
      <c r="D131" s="54">
        <v>471.9</v>
      </c>
      <c r="E131" s="54">
        <v>363</v>
      </c>
      <c r="F131" s="24">
        <f t="shared" si="15"/>
        <v>834.9</v>
      </c>
      <c r="G131" s="27"/>
      <c r="H131" s="30"/>
      <c r="I131" s="31">
        <f t="shared" si="10"/>
        <v>834.9</v>
      </c>
      <c r="J131" s="98"/>
      <c r="K131" s="98"/>
      <c r="L131" s="98">
        <f>500*1.21+229.9</f>
        <v>834.9</v>
      </c>
      <c r="M131" s="98"/>
      <c r="N131" s="98"/>
      <c r="O131" s="98"/>
      <c r="P131" s="98"/>
      <c r="Q131" s="98"/>
      <c r="R131" s="98"/>
    </row>
    <row r="132" spans="1:18" customFormat="1" x14ac:dyDescent="0.3">
      <c r="A132" s="5" t="s">
        <v>93</v>
      </c>
      <c r="B132" s="54">
        <f>3630+9559</f>
        <v>13189</v>
      </c>
      <c r="C132" s="54"/>
      <c r="D132" s="54"/>
      <c r="E132" s="54"/>
      <c r="F132" s="24">
        <f t="shared" si="15"/>
        <v>13189</v>
      </c>
      <c r="G132" s="27"/>
      <c r="H132" s="30">
        <f>7900*1.21</f>
        <v>9559</v>
      </c>
      <c r="I132" s="31">
        <f t="shared" si="10"/>
        <v>3630</v>
      </c>
      <c r="J132" s="98"/>
      <c r="K132" s="98">
        <f>3000*1.21</f>
        <v>3630</v>
      </c>
      <c r="L132" s="98"/>
      <c r="M132" s="98"/>
      <c r="N132" s="98"/>
      <c r="O132" s="98"/>
      <c r="P132" s="98"/>
      <c r="Q132" s="98"/>
      <c r="R132" s="98"/>
    </row>
    <row r="133" spans="1:18" customFormat="1" x14ac:dyDescent="0.3">
      <c r="A133" s="5" t="s">
        <v>139</v>
      </c>
      <c r="B133" s="54">
        <v>24744.5</v>
      </c>
      <c r="C133" s="54">
        <v>24744.5</v>
      </c>
      <c r="D133" s="54">
        <v>24744.5</v>
      </c>
      <c r="E133" s="54">
        <v>24744.5</v>
      </c>
      <c r="F133" s="24">
        <f t="shared" si="15"/>
        <v>98978</v>
      </c>
      <c r="G133" s="27"/>
      <c r="H133" s="30">
        <f>1800*1.21</f>
        <v>2178</v>
      </c>
      <c r="I133" s="31">
        <f t="shared" si="10"/>
        <v>96800</v>
      </c>
      <c r="J133" s="98"/>
      <c r="K133" s="98"/>
      <c r="L133" s="98"/>
      <c r="M133" s="98">
        <f>80000*1.21</f>
        <v>96800</v>
      </c>
      <c r="N133" s="98"/>
      <c r="O133" s="98"/>
      <c r="P133" s="98"/>
      <c r="Q133" s="98"/>
      <c r="R133" s="98"/>
    </row>
    <row r="134" spans="1:18" customFormat="1" x14ac:dyDescent="0.3">
      <c r="A134" s="20" t="s">
        <v>94</v>
      </c>
      <c r="B134" s="54"/>
      <c r="C134" s="54"/>
      <c r="D134" s="54"/>
      <c r="E134" s="54"/>
      <c r="F134" s="24">
        <f t="shared" si="15"/>
        <v>0</v>
      </c>
      <c r="G134" s="27"/>
      <c r="H134" s="30"/>
      <c r="I134" s="31"/>
      <c r="J134" s="98"/>
      <c r="K134" s="98"/>
      <c r="L134" s="98"/>
      <c r="M134" s="98"/>
      <c r="N134" s="98"/>
      <c r="O134" s="98"/>
      <c r="P134" s="98"/>
      <c r="Q134" s="98"/>
      <c r="R134" s="98"/>
    </row>
    <row r="135" spans="1:18" customFormat="1" x14ac:dyDescent="0.3">
      <c r="A135" s="5" t="s">
        <v>134</v>
      </c>
      <c r="B135" s="54">
        <v>3327.5</v>
      </c>
      <c r="C135" s="54">
        <v>2359.5</v>
      </c>
      <c r="D135" s="54">
        <f>2359.5</f>
        <v>2359.5</v>
      </c>
      <c r="E135" s="54">
        <v>2359.5</v>
      </c>
      <c r="F135" s="24">
        <f t="shared" si="15"/>
        <v>10406</v>
      </c>
      <c r="G135" s="27"/>
      <c r="H135" s="30"/>
      <c r="I135" s="31">
        <f>SUM(J135:R135)</f>
        <v>10406</v>
      </c>
      <c r="J135" s="98"/>
      <c r="K135" s="98"/>
      <c r="L135" s="98">
        <v>10406</v>
      </c>
      <c r="M135" s="98"/>
      <c r="N135" s="98"/>
      <c r="O135" s="98"/>
      <c r="P135" s="98"/>
      <c r="Q135" s="98"/>
      <c r="R135" s="98"/>
    </row>
    <row r="136" spans="1:18" customFormat="1" x14ac:dyDescent="0.3">
      <c r="A136" s="20" t="s">
        <v>95</v>
      </c>
      <c r="B136" s="54"/>
      <c r="C136" s="54"/>
      <c r="D136" s="54"/>
      <c r="E136" s="54"/>
      <c r="F136" s="24">
        <f t="shared" si="15"/>
        <v>0</v>
      </c>
      <c r="G136" s="27"/>
      <c r="H136" s="30"/>
      <c r="I136" s="31"/>
      <c r="J136" s="98"/>
      <c r="K136" s="98"/>
      <c r="L136" s="98"/>
      <c r="M136" s="98"/>
      <c r="N136" s="98"/>
      <c r="O136" s="98"/>
      <c r="P136" s="98"/>
      <c r="Q136" s="98"/>
      <c r="R136" s="98"/>
    </row>
    <row r="137" spans="1:18" customFormat="1" x14ac:dyDescent="0.3">
      <c r="A137" s="5" t="s">
        <v>96</v>
      </c>
      <c r="B137" s="54"/>
      <c r="C137" s="54"/>
      <c r="D137" s="54"/>
      <c r="E137" s="54">
        <f>17948.41+181.5</f>
        <v>18129.91</v>
      </c>
      <c r="F137" s="24">
        <f t="shared" si="15"/>
        <v>18129.913999999997</v>
      </c>
      <c r="G137" s="27"/>
      <c r="H137" s="30">
        <f>150*1.21</f>
        <v>181.5</v>
      </c>
      <c r="I137" s="31">
        <f t="shared" ref="I137" si="16">SUM(J137:R137)</f>
        <v>17948.413999999997</v>
      </c>
      <c r="J137" s="98">
        <f>7115.9*1.21</f>
        <v>8610.2389999999996</v>
      </c>
      <c r="K137" s="98"/>
      <c r="L137" s="98"/>
      <c r="M137" s="98">
        <f>7717.5*1.21</f>
        <v>9338.1749999999993</v>
      </c>
      <c r="N137" s="98"/>
      <c r="O137" s="98"/>
      <c r="P137" s="98"/>
      <c r="Q137" s="98"/>
      <c r="R137" s="98"/>
    </row>
    <row r="138" spans="1:18" customFormat="1" x14ac:dyDescent="0.3">
      <c r="A138" s="20" t="s">
        <v>97</v>
      </c>
      <c r="B138" s="54"/>
      <c r="C138" s="54"/>
      <c r="D138" s="54"/>
      <c r="E138" s="54"/>
      <c r="F138" s="24"/>
      <c r="G138" s="27"/>
      <c r="H138" s="30"/>
      <c r="I138" s="31"/>
      <c r="J138" s="98"/>
      <c r="K138" s="98"/>
      <c r="L138" s="98"/>
      <c r="M138" s="98"/>
      <c r="N138" s="98"/>
      <c r="O138" s="98"/>
      <c r="P138" s="98"/>
      <c r="Q138" s="98"/>
      <c r="R138" s="98"/>
    </row>
    <row r="139" spans="1:18" customFormat="1" x14ac:dyDescent="0.3">
      <c r="A139" s="5" t="s">
        <v>98</v>
      </c>
      <c r="B139" s="54">
        <v>1827</v>
      </c>
      <c r="C139" s="54">
        <v>4231</v>
      </c>
      <c r="D139" s="54">
        <v>3186</v>
      </c>
      <c r="E139" s="54">
        <v>8213</v>
      </c>
      <c r="F139" s="24">
        <f>H139+I139</f>
        <v>17457</v>
      </c>
      <c r="G139" s="27"/>
      <c r="H139" s="30"/>
      <c r="I139" s="31">
        <f>SUM(J139:R139)</f>
        <v>17457</v>
      </c>
      <c r="J139" s="98"/>
      <c r="K139" s="98"/>
      <c r="L139" s="98">
        <v>17457</v>
      </c>
      <c r="M139" s="98"/>
      <c r="N139" s="98"/>
      <c r="O139" s="98"/>
      <c r="P139" s="98"/>
      <c r="Q139" s="98"/>
      <c r="R139" s="98"/>
    </row>
    <row r="140" spans="1:18" customFormat="1" x14ac:dyDescent="0.3">
      <c r="A140" s="20" t="s">
        <v>99</v>
      </c>
      <c r="B140" s="54"/>
      <c r="C140" s="54"/>
      <c r="D140" s="54"/>
      <c r="E140" s="54"/>
      <c r="F140" s="24"/>
      <c r="G140" s="27"/>
      <c r="H140" s="30"/>
      <c r="I140" s="31"/>
      <c r="J140" s="98"/>
      <c r="K140" s="98"/>
      <c r="L140" s="98"/>
      <c r="M140" s="98"/>
      <c r="N140" s="98"/>
      <c r="O140" s="98"/>
      <c r="P140" s="98"/>
      <c r="Q140" s="98"/>
      <c r="R140" s="98"/>
    </row>
    <row r="141" spans="1:18" customFormat="1" x14ac:dyDescent="0.3">
      <c r="A141" s="5" t="s">
        <v>100</v>
      </c>
      <c r="B141" s="54">
        <v>19320</v>
      </c>
      <c r="C141" s="54">
        <v>40188.629999999997</v>
      </c>
      <c r="D141" s="54">
        <v>25268</v>
      </c>
      <c r="E141" s="54">
        <v>24732</v>
      </c>
      <c r="F141" s="24">
        <f>H141+I141</f>
        <v>109508.63</v>
      </c>
      <c r="G141" s="27"/>
      <c r="H141" s="30">
        <f>(11925+10560)*1.21</f>
        <v>27206.85</v>
      </c>
      <c r="I141" s="31">
        <f>SUM(J141:R141)</f>
        <v>82301.78</v>
      </c>
      <c r="J141" s="98"/>
      <c r="K141" s="98"/>
      <c r="L141" s="98">
        <f>68018*1.21</f>
        <v>82301.78</v>
      </c>
      <c r="M141" s="98"/>
      <c r="N141" s="98"/>
      <c r="O141" s="98"/>
      <c r="P141" s="98"/>
      <c r="Q141" s="98"/>
      <c r="R141" s="98"/>
    </row>
    <row r="142" spans="1:18" customFormat="1" x14ac:dyDescent="0.3">
      <c r="A142" s="20" t="s">
        <v>101</v>
      </c>
      <c r="B142" s="54"/>
      <c r="C142" s="54"/>
      <c r="D142" s="54"/>
      <c r="E142" s="54"/>
      <c r="F142" s="24"/>
      <c r="G142" s="27"/>
      <c r="H142" s="30"/>
      <c r="I142" s="31"/>
      <c r="J142" s="98"/>
      <c r="K142" s="98"/>
      <c r="L142" s="98"/>
      <c r="M142" s="98"/>
      <c r="N142" s="98"/>
      <c r="O142" s="98"/>
      <c r="P142" s="98"/>
      <c r="Q142" s="98"/>
      <c r="R142" s="98"/>
    </row>
    <row r="143" spans="1:18" customFormat="1" x14ac:dyDescent="0.3">
      <c r="A143" s="5" t="s">
        <v>102</v>
      </c>
      <c r="B143" s="54">
        <f>2541+6171</f>
        <v>8712</v>
      </c>
      <c r="C143" s="54"/>
      <c r="D143" s="54"/>
      <c r="E143" s="54"/>
      <c r="F143" s="24">
        <f>H143+I143</f>
        <v>8712</v>
      </c>
      <c r="G143" s="27"/>
      <c r="H143" s="30">
        <f>5100*1.21</f>
        <v>6171</v>
      </c>
      <c r="I143" s="31">
        <f t="shared" si="10"/>
        <v>2541</v>
      </c>
      <c r="J143" s="98"/>
      <c r="K143" s="98">
        <f>2100*1.21</f>
        <v>2541</v>
      </c>
      <c r="L143" s="98"/>
      <c r="M143" s="98"/>
      <c r="N143" s="98"/>
      <c r="O143" s="98"/>
      <c r="P143" s="98"/>
      <c r="Q143" s="98"/>
      <c r="R143" s="98"/>
    </row>
    <row r="144" spans="1:18" customFormat="1" x14ac:dyDescent="0.3">
      <c r="A144" s="5" t="s">
        <v>168</v>
      </c>
      <c r="B144" s="54"/>
      <c r="C144" s="54">
        <f>91801.78+24575.1</f>
        <v>116376.88</v>
      </c>
      <c r="D144" s="54"/>
      <c r="E144" s="54"/>
      <c r="F144" s="24">
        <f>H144+I144</f>
        <v>116376.88</v>
      </c>
      <c r="G144" s="27"/>
      <c r="H144" s="30">
        <f>(3330+13860+3120)*1.21</f>
        <v>24575.1</v>
      </c>
      <c r="I144" s="31">
        <f t="shared" si="10"/>
        <v>91801.78</v>
      </c>
      <c r="J144" s="99">
        <f>(2250*1.21)</f>
        <v>2722.5</v>
      </c>
      <c r="K144" s="98">
        <f>(1300+1000+1000)*1.21</f>
        <v>3993</v>
      </c>
      <c r="L144" s="99">
        <f>250*1.21</f>
        <v>302.5</v>
      </c>
      <c r="M144" s="98">
        <v>36321.78</v>
      </c>
      <c r="N144" s="98"/>
      <c r="O144" s="98">
        <v>45437</v>
      </c>
      <c r="P144" s="98">
        <f>2500*1.21</f>
        <v>3025</v>
      </c>
      <c r="Q144" s="98"/>
      <c r="R144" s="98"/>
    </row>
    <row r="145" spans="1:18" customFormat="1" x14ac:dyDescent="0.3">
      <c r="A145" s="5" t="s">
        <v>169</v>
      </c>
      <c r="B145" s="54"/>
      <c r="C145" s="54">
        <f>5535.75+26659.2</f>
        <v>32194.95</v>
      </c>
      <c r="D145" s="54">
        <v>188039.32</v>
      </c>
      <c r="E145" s="54"/>
      <c r="F145" s="24">
        <f>H145+I145</f>
        <v>220234.274</v>
      </c>
      <c r="G145" s="27"/>
      <c r="H145" s="30">
        <f>(3337.4+16420+2275)*1.21</f>
        <v>26659.204000000002</v>
      </c>
      <c r="I145" s="31">
        <f t="shared" si="10"/>
        <v>193575.07</v>
      </c>
      <c r="J145" s="99">
        <f>(300+11908+4047)*1.21</f>
        <v>19668.55</v>
      </c>
      <c r="K145" s="98">
        <f>(1300+700+1740+1881+2000)*1.21</f>
        <v>9221.41</v>
      </c>
      <c r="L145" s="99">
        <f>(1500+635)*1.21</f>
        <v>2583.35</v>
      </c>
      <c r="M145" s="98">
        <f>(108320+1554)*1.21</f>
        <v>132947.54</v>
      </c>
      <c r="N145" s="98"/>
      <c r="O145" s="98">
        <v>26768.1</v>
      </c>
      <c r="P145" s="98">
        <f>(1972*1.21)</f>
        <v>2386.12</v>
      </c>
      <c r="Q145" s="98"/>
      <c r="R145" s="98"/>
    </row>
    <row r="146" spans="1:18" customFormat="1" x14ac:dyDescent="0.3">
      <c r="A146" s="5" t="s">
        <v>103</v>
      </c>
      <c r="B146" s="54"/>
      <c r="C146" s="54"/>
      <c r="D146" s="54"/>
      <c r="E146" s="54">
        <v>38834.379999999997</v>
      </c>
      <c r="F146" s="24">
        <f>H146+I146</f>
        <v>38834.381299999994</v>
      </c>
      <c r="G146" s="27"/>
      <c r="H146" s="30"/>
      <c r="I146" s="31">
        <f t="shared" si="10"/>
        <v>38834.381299999994</v>
      </c>
      <c r="J146" s="98">
        <f>(600.95+4641.22+7961)*1.21</f>
        <v>15975.8357</v>
      </c>
      <c r="K146" s="98"/>
      <c r="L146" s="99">
        <f>(5189+606.36)*1.21</f>
        <v>7012.3855999999996</v>
      </c>
      <c r="M146" s="98">
        <f>(13096*1.21)</f>
        <v>15846.16</v>
      </c>
      <c r="N146" s="98"/>
      <c r="O146" s="98"/>
      <c r="P146" s="98"/>
      <c r="Q146" s="98"/>
      <c r="R146" s="98"/>
    </row>
    <row r="147" spans="1:18" customFormat="1" x14ac:dyDescent="0.3">
      <c r="A147" s="20" t="s">
        <v>104</v>
      </c>
      <c r="B147" s="54"/>
      <c r="C147" s="54"/>
      <c r="D147" s="54"/>
      <c r="E147" s="54"/>
      <c r="F147" s="24"/>
      <c r="G147" s="27"/>
      <c r="H147" s="30"/>
      <c r="I147" s="31"/>
      <c r="J147" s="98"/>
      <c r="K147" s="98"/>
      <c r="L147" s="98"/>
      <c r="M147" s="98"/>
      <c r="N147" s="98"/>
      <c r="O147" s="98"/>
      <c r="P147" s="98"/>
      <c r="Q147" s="98"/>
      <c r="R147" s="98"/>
    </row>
    <row r="148" spans="1:18" customFormat="1" x14ac:dyDescent="0.3">
      <c r="A148" s="22" t="s">
        <v>105</v>
      </c>
      <c r="B148" s="54">
        <v>92937.74</v>
      </c>
      <c r="C148" s="54"/>
      <c r="D148" s="54"/>
      <c r="E148" s="54"/>
      <c r="F148" s="24">
        <f>H148+I148</f>
        <v>92937.74</v>
      </c>
      <c r="G148" s="27"/>
      <c r="H148" s="30">
        <f>(5510)*1.21+7174.7</f>
        <v>13841.8</v>
      </c>
      <c r="I148" s="31">
        <f>SUM(J148:R148)</f>
        <v>79095.94</v>
      </c>
      <c r="J148" s="98">
        <v>17851.989999999998</v>
      </c>
      <c r="K148" s="98"/>
      <c r="L148" s="98">
        <v>3171.34</v>
      </c>
      <c r="M148" s="98">
        <v>58072.61</v>
      </c>
      <c r="N148" s="98"/>
      <c r="O148" s="98"/>
      <c r="P148" s="98"/>
      <c r="Q148" s="98"/>
      <c r="R148" s="98"/>
    </row>
    <row r="149" spans="1:18" customFormat="1" x14ac:dyDescent="0.3">
      <c r="A149" s="44" t="s">
        <v>106</v>
      </c>
      <c r="B149" s="54"/>
      <c r="C149" s="54"/>
      <c r="D149" s="55">
        <f>132378.03+21681.39+2499.99+12777.6</f>
        <v>169337.00999999998</v>
      </c>
      <c r="E149" s="54"/>
      <c r="F149" s="43">
        <f>H149+I149</f>
        <v>169337.01</v>
      </c>
      <c r="G149" s="27"/>
      <c r="H149" s="30">
        <f>(11990)*1.21+7173.49</f>
        <v>21681.39</v>
      </c>
      <c r="I149" s="31">
        <f>SUM(J149:R149)</f>
        <v>147655.62</v>
      </c>
      <c r="J149" s="98">
        <v>25515.74</v>
      </c>
      <c r="K149" s="98"/>
      <c r="L149" s="98">
        <f>13604.09+2499.99</f>
        <v>16104.08</v>
      </c>
      <c r="M149" s="98"/>
      <c r="N149" s="98"/>
      <c r="O149" s="98">
        <v>29717.3</v>
      </c>
      <c r="P149" s="98">
        <f>59719.87+12777.6</f>
        <v>72497.47</v>
      </c>
      <c r="Q149" s="98"/>
      <c r="R149" s="98">
        <v>3821.03</v>
      </c>
    </row>
    <row r="150" spans="1:18" customFormat="1" x14ac:dyDescent="0.3">
      <c r="A150" s="20" t="s">
        <v>107</v>
      </c>
      <c r="B150" s="54"/>
      <c r="C150" s="54"/>
      <c r="D150" s="54"/>
      <c r="E150" s="54"/>
      <c r="F150" s="24"/>
      <c r="G150" s="27"/>
      <c r="H150" s="30"/>
      <c r="I150" s="31"/>
      <c r="J150" s="98"/>
      <c r="K150" s="98"/>
      <c r="L150" s="98"/>
      <c r="M150" s="98"/>
      <c r="N150" s="98"/>
      <c r="O150" s="98"/>
      <c r="P150" s="98"/>
      <c r="Q150" s="98"/>
      <c r="R150" s="98"/>
    </row>
    <row r="151" spans="1:18" customFormat="1" x14ac:dyDescent="0.3">
      <c r="A151" s="5" t="s">
        <v>108</v>
      </c>
      <c r="B151" s="54">
        <v>968</v>
      </c>
      <c r="C151" s="54">
        <v>3667.95</v>
      </c>
      <c r="D151" s="54">
        <v>2420</v>
      </c>
      <c r="E151" s="54"/>
      <c r="F151" s="24">
        <f>H151+I151</f>
        <v>7055.95</v>
      </c>
      <c r="G151" s="27"/>
      <c r="H151" s="30"/>
      <c r="I151" s="31">
        <f t="shared" si="10"/>
        <v>7055.95</v>
      </c>
      <c r="J151" s="98"/>
      <c r="K151" s="98">
        <f>3667.95+968</f>
        <v>4635.95</v>
      </c>
      <c r="L151" s="98">
        <f>2420</f>
        <v>2420</v>
      </c>
      <c r="M151" s="98"/>
      <c r="N151" s="98"/>
      <c r="O151" s="98"/>
      <c r="P151" s="98"/>
      <c r="Q151" s="98"/>
      <c r="R151" s="98"/>
    </row>
    <row r="152" spans="1:18" customFormat="1" x14ac:dyDescent="0.3">
      <c r="A152" s="5" t="s">
        <v>109</v>
      </c>
      <c r="B152" s="54"/>
      <c r="C152" s="54"/>
      <c r="D152" s="54">
        <v>5000</v>
      </c>
      <c r="E152" s="54"/>
      <c r="F152" s="24">
        <f>H152+I152</f>
        <v>5000</v>
      </c>
      <c r="G152" s="27"/>
      <c r="H152" s="30"/>
      <c r="I152" s="31">
        <f t="shared" si="10"/>
        <v>5000</v>
      </c>
      <c r="J152" s="98"/>
      <c r="K152" s="98">
        <v>5000</v>
      </c>
      <c r="L152" s="98"/>
      <c r="M152" s="98"/>
      <c r="N152" s="98"/>
      <c r="O152" s="98"/>
      <c r="P152" s="98"/>
      <c r="Q152" s="98"/>
      <c r="R152" s="98"/>
    </row>
    <row r="153" spans="1:18" customFormat="1" x14ac:dyDescent="0.3">
      <c r="A153" s="5" t="s">
        <v>110</v>
      </c>
      <c r="B153" s="54">
        <v>605</v>
      </c>
      <c r="C153" s="54">
        <v>605</v>
      </c>
      <c r="D153" s="54">
        <v>4225</v>
      </c>
      <c r="E153" s="54"/>
      <c r="F153" s="24">
        <f>H153+I153</f>
        <v>5435</v>
      </c>
      <c r="G153" s="27"/>
      <c r="H153" s="30"/>
      <c r="I153" s="31">
        <f t="shared" si="10"/>
        <v>5435</v>
      </c>
      <c r="J153" s="98"/>
      <c r="K153" s="98">
        <v>3015</v>
      </c>
      <c r="L153" s="98">
        <v>2420</v>
      </c>
      <c r="M153" s="98"/>
      <c r="N153" s="98"/>
      <c r="O153" s="98"/>
      <c r="P153" s="98"/>
      <c r="Q153" s="98"/>
      <c r="R153" s="98"/>
    </row>
    <row r="154" spans="1:18" customFormat="1" x14ac:dyDescent="0.3">
      <c r="A154" s="5" t="s">
        <v>145</v>
      </c>
      <c r="B154" s="54"/>
      <c r="C154" s="54">
        <v>282.06</v>
      </c>
      <c r="D154" s="54"/>
      <c r="E154" s="54">
        <v>211.42</v>
      </c>
      <c r="F154" s="24">
        <f>H154+I154</f>
        <v>493.48</v>
      </c>
      <c r="G154" s="27"/>
      <c r="H154" s="30"/>
      <c r="I154" s="31">
        <f t="shared" si="10"/>
        <v>493.48</v>
      </c>
      <c r="J154" s="98"/>
      <c r="K154" s="98"/>
      <c r="L154" s="98"/>
      <c r="M154" s="98">
        <v>493.48</v>
      </c>
      <c r="N154" s="98"/>
      <c r="O154" s="98"/>
      <c r="P154" s="98"/>
      <c r="Q154" s="98"/>
      <c r="R154" s="98"/>
    </row>
    <row r="155" spans="1:18" customFormat="1" x14ac:dyDescent="0.3">
      <c r="A155" s="20" t="s">
        <v>111</v>
      </c>
      <c r="B155" s="54"/>
      <c r="C155" s="54"/>
      <c r="D155" s="54"/>
      <c r="E155" s="54"/>
      <c r="F155" s="24"/>
      <c r="G155" s="27"/>
      <c r="H155" s="30"/>
      <c r="I155" s="31"/>
      <c r="J155" s="98"/>
      <c r="K155" s="98"/>
      <c r="L155" s="98"/>
      <c r="M155" s="98"/>
      <c r="N155" s="98"/>
      <c r="O155" s="98"/>
      <c r="P155" s="98"/>
      <c r="Q155" s="98"/>
      <c r="R155" s="98"/>
    </row>
    <row r="156" spans="1:18" customFormat="1" x14ac:dyDescent="0.3">
      <c r="A156" s="5" t="s">
        <v>112</v>
      </c>
      <c r="B156" s="54">
        <v>5324</v>
      </c>
      <c r="C156" s="54"/>
      <c r="D156" s="54"/>
      <c r="E156" s="54"/>
      <c r="F156" s="24">
        <f t="shared" ref="F156:F161" si="17">H156+I156</f>
        <v>5324</v>
      </c>
      <c r="G156" s="27"/>
      <c r="H156" s="30"/>
      <c r="I156" s="31">
        <f t="shared" si="10"/>
        <v>5324</v>
      </c>
      <c r="J156" s="98"/>
      <c r="K156" s="98">
        <v>5324</v>
      </c>
      <c r="L156" s="98"/>
      <c r="M156" s="98"/>
      <c r="N156" s="98"/>
      <c r="O156" s="98"/>
      <c r="P156" s="98"/>
      <c r="Q156" s="98"/>
      <c r="R156" s="98"/>
    </row>
    <row r="157" spans="1:18" customFormat="1" x14ac:dyDescent="0.3">
      <c r="A157" s="5" t="s">
        <v>113</v>
      </c>
      <c r="B157" s="54">
        <v>2420</v>
      </c>
      <c r="C157" s="54"/>
      <c r="D157" s="54"/>
      <c r="E157" s="54"/>
      <c r="F157" s="24">
        <f t="shared" si="17"/>
        <v>2420</v>
      </c>
      <c r="G157" s="27"/>
      <c r="H157" s="30"/>
      <c r="I157" s="31">
        <f t="shared" si="10"/>
        <v>2420</v>
      </c>
      <c r="J157" s="98"/>
      <c r="K157" s="98">
        <v>2420</v>
      </c>
      <c r="L157" s="98"/>
      <c r="M157" s="98"/>
      <c r="N157" s="98"/>
      <c r="O157" s="98"/>
      <c r="P157" s="98"/>
      <c r="Q157" s="98"/>
      <c r="R157" s="98"/>
    </row>
    <row r="158" spans="1:18" customFormat="1" x14ac:dyDescent="0.3">
      <c r="A158" s="5" t="s">
        <v>114</v>
      </c>
      <c r="B158" s="54"/>
      <c r="C158" s="54">
        <v>1573</v>
      </c>
      <c r="D158" s="54"/>
      <c r="E158" s="54"/>
      <c r="F158" s="24">
        <f t="shared" si="17"/>
        <v>1573</v>
      </c>
      <c r="G158" s="27"/>
      <c r="H158" s="30"/>
      <c r="I158" s="31">
        <f t="shared" si="10"/>
        <v>1573</v>
      </c>
      <c r="J158" s="98"/>
      <c r="K158" s="98">
        <v>1573</v>
      </c>
      <c r="L158" s="98"/>
      <c r="M158" s="98"/>
      <c r="N158" s="98"/>
      <c r="O158" s="98"/>
      <c r="P158" s="98"/>
      <c r="Q158" s="98"/>
      <c r="R158" s="98"/>
    </row>
    <row r="159" spans="1:18" customFormat="1" x14ac:dyDescent="0.3">
      <c r="A159" s="5" t="s">
        <v>115</v>
      </c>
      <c r="B159" s="54"/>
      <c r="C159" s="54">
        <v>5324</v>
      </c>
      <c r="D159" s="54"/>
      <c r="E159" s="54"/>
      <c r="F159" s="24">
        <f t="shared" si="17"/>
        <v>5324</v>
      </c>
      <c r="G159" s="27"/>
      <c r="H159" s="30"/>
      <c r="I159" s="31">
        <f t="shared" si="10"/>
        <v>5324</v>
      </c>
      <c r="J159" s="98"/>
      <c r="K159" s="98">
        <v>5324</v>
      </c>
      <c r="L159" s="98"/>
      <c r="M159" s="98"/>
      <c r="N159" s="98"/>
      <c r="O159" s="98"/>
      <c r="P159" s="98"/>
      <c r="Q159" s="98"/>
      <c r="R159" s="98"/>
    </row>
    <row r="160" spans="1:18" customFormat="1" x14ac:dyDescent="0.3">
      <c r="A160" s="5" t="s">
        <v>116</v>
      </c>
      <c r="B160" s="54"/>
      <c r="C160" s="54"/>
      <c r="D160" s="54"/>
      <c r="E160" s="54">
        <v>1573</v>
      </c>
      <c r="F160" s="24">
        <f t="shared" si="17"/>
        <v>1573</v>
      </c>
      <c r="G160" s="27"/>
      <c r="H160" s="30"/>
      <c r="I160" s="31">
        <f t="shared" si="10"/>
        <v>1573</v>
      </c>
      <c r="J160" s="98"/>
      <c r="K160" s="98">
        <v>1573</v>
      </c>
      <c r="L160" s="98"/>
      <c r="M160" s="98"/>
      <c r="N160" s="98"/>
      <c r="O160" s="98"/>
      <c r="P160" s="98"/>
      <c r="Q160" s="98"/>
      <c r="R160" s="98"/>
    </row>
    <row r="161" spans="1:18" customFormat="1" x14ac:dyDescent="0.3">
      <c r="A161" s="5" t="s">
        <v>117</v>
      </c>
      <c r="B161" s="54"/>
      <c r="C161" s="54"/>
      <c r="D161" s="54"/>
      <c r="E161" s="54">
        <v>4840</v>
      </c>
      <c r="F161" s="24">
        <f t="shared" si="17"/>
        <v>4840</v>
      </c>
      <c r="G161" s="27"/>
      <c r="H161" s="30"/>
      <c r="I161" s="31">
        <f t="shared" si="10"/>
        <v>4840</v>
      </c>
      <c r="J161" s="98"/>
      <c r="K161" s="98">
        <v>4840</v>
      </c>
      <c r="L161" s="98"/>
      <c r="M161" s="98"/>
      <c r="N161" s="98"/>
      <c r="O161" s="98"/>
      <c r="P161" s="98"/>
      <c r="Q161" s="98"/>
      <c r="R161" s="98"/>
    </row>
    <row r="162" spans="1:18" customFormat="1" x14ac:dyDescent="0.3">
      <c r="A162" s="20" t="s">
        <v>118</v>
      </c>
      <c r="B162" s="54"/>
      <c r="C162" s="54"/>
      <c r="D162" s="54"/>
      <c r="E162" s="54"/>
      <c r="F162" s="24"/>
      <c r="G162" s="27"/>
      <c r="H162" s="30"/>
      <c r="I162" s="31"/>
      <c r="J162" s="98"/>
      <c r="K162" s="98"/>
      <c r="L162" s="98"/>
      <c r="M162" s="98"/>
      <c r="N162" s="98"/>
      <c r="O162" s="98"/>
      <c r="P162" s="98"/>
      <c r="Q162" s="98"/>
      <c r="R162" s="98"/>
    </row>
    <row r="163" spans="1:18" customFormat="1" x14ac:dyDescent="0.3">
      <c r="A163" s="5" t="s">
        <v>119</v>
      </c>
      <c r="B163" s="54"/>
      <c r="C163" s="54"/>
      <c r="D163" s="54">
        <v>44282.22</v>
      </c>
      <c r="E163" s="54"/>
      <c r="F163" s="24">
        <f>H163+I163</f>
        <v>44282.22</v>
      </c>
      <c r="G163" s="27"/>
      <c r="H163" s="30">
        <v>847</v>
      </c>
      <c r="I163" s="31">
        <f t="shared" si="10"/>
        <v>43435.22</v>
      </c>
      <c r="J163" s="98"/>
      <c r="K163" s="98"/>
      <c r="L163" s="98">
        <f>6409.22+37026</f>
        <v>43435.22</v>
      </c>
      <c r="M163" s="98"/>
      <c r="N163" s="98"/>
      <c r="O163" s="98"/>
      <c r="P163" s="98"/>
      <c r="Q163" s="98"/>
      <c r="R163" s="98"/>
    </row>
    <row r="164" spans="1:18" customFormat="1" x14ac:dyDescent="0.3">
      <c r="A164" s="5" t="s">
        <v>120</v>
      </c>
      <c r="B164" s="54">
        <v>1706.1</v>
      </c>
      <c r="C164" s="54">
        <v>1706.1</v>
      </c>
      <c r="D164" s="54">
        <v>1706.1</v>
      </c>
      <c r="E164" s="54">
        <v>3053.1</v>
      </c>
      <c r="F164" s="24">
        <f>H164+I164</f>
        <v>8171.4</v>
      </c>
      <c r="G164" s="27"/>
      <c r="H164" s="30"/>
      <c r="I164" s="31">
        <f t="shared" si="10"/>
        <v>8171.4</v>
      </c>
      <c r="J164" s="98"/>
      <c r="K164" s="98">
        <f>6824.4+847</f>
        <v>7671.4</v>
      </c>
      <c r="L164" s="98">
        <v>500</v>
      </c>
      <c r="M164" s="98"/>
      <c r="N164" s="98"/>
      <c r="O164" s="98"/>
      <c r="P164" s="98"/>
      <c r="Q164" s="98"/>
      <c r="R164" s="98"/>
    </row>
    <row r="165" spans="1:18" customFormat="1" x14ac:dyDescent="0.3">
      <c r="A165" s="5" t="s">
        <v>121</v>
      </c>
      <c r="B165" s="54">
        <v>5078.95</v>
      </c>
      <c r="C165" s="54">
        <v>3363.52</v>
      </c>
      <c r="D165" s="54">
        <v>2231.9499999999998</v>
      </c>
      <c r="E165" s="54">
        <v>2395.3000000000002</v>
      </c>
      <c r="F165" s="24">
        <f>H165+I165</f>
        <v>13069.72</v>
      </c>
      <c r="G165" s="27"/>
      <c r="H165" s="30"/>
      <c r="I165" s="31">
        <f t="shared" si="10"/>
        <v>13069.72</v>
      </c>
      <c r="J165" s="98"/>
      <c r="K165" s="98"/>
      <c r="L165" s="98">
        <v>13069.72</v>
      </c>
      <c r="M165" s="98"/>
      <c r="N165" s="98"/>
      <c r="O165" s="98"/>
      <c r="P165" s="98"/>
      <c r="Q165" s="98"/>
      <c r="R165" s="98"/>
    </row>
    <row r="166" spans="1:18" customFormat="1" x14ac:dyDescent="0.3">
      <c r="A166" s="5" t="s">
        <v>170</v>
      </c>
      <c r="B166" s="54"/>
      <c r="C166" s="54"/>
      <c r="D166" s="54">
        <v>1755</v>
      </c>
      <c r="E166" s="54">
        <v>2976.6</v>
      </c>
      <c r="F166" s="24">
        <f>H166+I166</f>
        <v>4731.6000000000004</v>
      </c>
      <c r="G166" s="27"/>
      <c r="H166" s="30"/>
      <c r="I166" s="31">
        <f t="shared" ref="I166:I174" si="18">SUM(J166:R166)</f>
        <v>4731.6000000000004</v>
      </c>
      <c r="J166" s="98"/>
      <c r="K166" s="98">
        <v>4731.6000000000004</v>
      </c>
      <c r="L166" s="98"/>
      <c r="M166" s="98"/>
      <c r="N166" s="98"/>
      <c r="O166" s="98"/>
      <c r="P166" s="98"/>
      <c r="Q166" s="98"/>
      <c r="R166" s="98"/>
    </row>
    <row r="167" spans="1:18" customFormat="1" x14ac:dyDescent="0.3">
      <c r="A167" s="5" t="s">
        <v>122</v>
      </c>
      <c r="B167" s="54"/>
      <c r="C167" s="54"/>
      <c r="D167" s="54"/>
      <c r="E167" s="54">
        <v>605</v>
      </c>
      <c r="F167" s="24">
        <f>H167+I167</f>
        <v>605</v>
      </c>
      <c r="G167" s="27"/>
      <c r="H167" s="30"/>
      <c r="I167" s="31">
        <f t="shared" si="18"/>
        <v>605</v>
      </c>
      <c r="J167" s="98"/>
      <c r="K167" s="98">
        <v>605</v>
      </c>
      <c r="L167" s="98"/>
      <c r="M167" s="98"/>
      <c r="N167" s="98"/>
      <c r="O167" s="98"/>
      <c r="P167" s="98"/>
      <c r="Q167" s="98"/>
      <c r="R167" s="98"/>
    </row>
    <row r="168" spans="1:18" customFormat="1" x14ac:dyDescent="0.3">
      <c r="A168" s="20" t="s">
        <v>123</v>
      </c>
      <c r="B168" s="54"/>
      <c r="C168" s="54"/>
      <c r="D168" s="54"/>
      <c r="E168" s="54"/>
      <c r="F168" s="24"/>
      <c r="G168" s="27"/>
      <c r="H168" s="30"/>
      <c r="I168" s="31"/>
      <c r="J168" s="98"/>
      <c r="K168" s="98"/>
      <c r="L168" s="98"/>
      <c r="M168" s="98"/>
      <c r="N168" s="98"/>
      <c r="O168" s="98"/>
      <c r="P168" s="98"/>
      <c r="Q168" s="98"/>
      <c r="R168" s="98"/>
    </row>
    <row r="169" spans="1:18" customFormat="1" x14ac:dyDescent="0.3">
      <c r="A169" s="5" t="s">
        <v>124</v>
      </c>
      <c r="B169" s="54"/>
      <c r="C169" s="54">
        <v>5233.25</v>
      </c>
      <c r="D169" s="54"/>
      <c r="E169" s="54"/>
      <c r="F169" s="24">
        <f>H169+I169</f>
        <v>5233.25</v>
      </c>
      <c r="G169" s="27"/>
      <c r="H169" s="32">
        <v>514.25</v>
      </c>
      <c r="I169" s="33">
        <f t="shared" si="18"/>
        <v>4719</v>
      </c>
      <c r="J169" s="98"/>
      <c r="K169" s="98"/>
      <c r="L169" s="98">
        <f>1815</f>
        <v>1815</v>
      </c>
      <c r="M169" s="98"/>
      <c r="N169" s="98"/>
      <c r="O169" s="98">
        <v>2904</v>
      </c>
      <c r="P169" s="98"/>
      <c r="Q169" s="98"/>
      <c r="R169" s="98"/>
    </row>
    <row r="170" spans="1:18" s="12" customFormat="1" x14ac:dyDescent="0.3">
      <c r="A170" s="5" t="s">
        <v>125</v>
      </c>
      <c r="B170" s="54">
        <v>196765.15</v>
      </c>
      <c r="C170" s="54"/>
      <c r="D170" s="54"/>
      <c r="E170" s="54"/>
      <c r="F170" s="24">
        <f>H170+I170</f>
        <v>196765.15</v>
      </c>
      <c r="G170" s="27"/>
      <c r="H170" s="34"/>
      <c r="I170" s="33">
        <f t="shared" si="18"/>
        <v>196765.15</v>
      </c>
      <c r="J170" s="100">
        <v>40797.049999999996</v>
      </c>
      <c r="K170" s="100">
        <v>1910.52</v>
      </c>
      <c r="L170" s="100">
        <v>26200.29</v>
      </c>
      <c r="M170" s="100">
        <v>40458.11</v>
      </c>
      <c r="N170" s="100"/>
      <c r="O170" s="100">
        <v>4295.2700000000004</v>
      </c>
      <c r="P170" s="100">
        <v>83103.91</v>
      </c>
      <c r="Q170" s="100"/>
      <c r="R170" s="100"/>
    </row>
    <row r="171" spans="1:18" s="12" customFormat="1" x14ac:dyDescent="0.3">
      <c r="A171" s="20" t="s">
        <v>149</v>
      </c>
      <c r="B171" s="56"/>
      <c r="C171" s="56"/>
      <c r="D171" s="56"/>
      <c r="E171" s="56"/>
      <c r="F171" s="24"/>
      <c r="G171" s="45"/>
      <c r="H171" s="46"/>
      <c r="I171" s="33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1:18" s="12" customFormat="1" x14ac:dyDescent="0.3">
      <c r="A172" s="5" t="s">
        <v>145</v>
      </c>
      <c r="B172" s="56">
        <v>3214.82</v>
      </c>
      <c r="C172" s="56"/>
      <c r="D172" s="56"/>
      <c r="E172" s="56"/>
      <c r="F172" s="24">
        <f t="shared" ref="F172" si="19">H172+I172</f>
        <v>3214.82</v>
      </c>
      <c r="G172" s="45"/>
      <c r="H172" s="46"/>
      <c r="I172" s="33">
        <f t="shared" si="18"/>
        <v>3214.82</v>
      </c>
      <c r="J172" s="101"/>
      <c r="K172" s="101"/>
      <c r="L172" s="101"/>
      <c r="M172" s="101">
        <v>3214.82</v>
      </c>
      <c r="N172" s="101"/>
      <c r="O172" s="101"/>
      <c r="P172" s="101"/>
      <c r="Q172" s="101"/>
      <c r="R172" s="101"/>
    </row>
    <row r="173" spans="1:18" s="12" customFormat="1" x14ac:dyDescent="0.3">
      <c r="A173" s="20" t="s">
        <v>148</v>
      </c>
      <c r="B173" s="56"/>
      <c r="C173" s="56"/>
      <c r="D173" s="56"/>
      <c r="E173" s="56"/>
      <c r="F173" s="24"/>
      <c r="G173" s="45"/>
      <c r="H173" s="46"/>
      <c r="I173" s="33"/>
      <c r="J173" s="101"/>
      <c r="K173" s="101"/>
      <c r="L173" s="101"/>
      <c r="M173" s="101"/>
      <c r="N173" s="101"/>
      <c r="O173" s="101"/>
      <c r="P173" s="101"/>
      <c r="Q173" s="101"/>
      <c r="R173" s="101"/>
    </row>
    <row r="174" spans="1:18" s="12" customFormat="1" x14ac:dyDescent="0.3">
      <c r="A174" s="5" t="s">
        <v>145</v>
      </c>
      <c r="B174" s="56"/>
      <c r="C174" s="56"/>
      <c r="D174" s="56"/>
      <c r="E174" s="56">
        <v>21594.26</v>
      </c>
      <c r="F174" s="24">
        <f t="shared" ref="F174" si="20">H174+I174</f>
        <v>21594.26</v>
      </c>
      <c r="G174" s="45"/>
      <c r="H174" s="46"/>
      <c r="I174" s="33">
        <f t="shared" si="18"/>
        <v>21594.26</v>
      </c>
      <c r="J174" s="101"/>
      <c r="K174" s="101"/>
      <c r="L174" s="101"/>
      <c r="M174" s="101">
        <v>21594.26</v>
      </c>
      <c r="N174" s="101"/>
      <c r="O174" s="101"/>
      <c r="P174" s="101"/>
      <c r="Q174" s="101"/>
      <c r="R174" s="101"/>
    </row>
    <row r="175" spans="1:18" s="12" customFormat="1" ht="15" thickBot="1" x14ac:dyDescent="0.35">
      <c r="A175" s="5"/>
      <c r="B175" s="56"/>
      <c r="C175" s="56"/>
      <c r="D175" s="56"/>
      <c r="E175" s="56"/>
      <c r="F175" s="36">
        <f>H175+I175</f>
        <v>0</v>
      </c>
      <c r="G175" s="35"/>
      <c r="H175" s="37"/>
      <c r="I175" s="38"/>
      <c r="J175" s="101"/>
      <c r="K175" s="101"/>
      <c r="L175" s="101"/>
      <c r="M175" s="101"/>
      <c r="N175" s="101"/>
      <c r="O175" s="101"/>
      <c r="P175" s="101"/>
      <c r="Q175" s="101"/>
      <c r="R175" s="101"/>
    </row>
    <row r="176" spans="1:18" s="6" customFormat="1" ht="21.6" thickBot="1" x14ac:dyDescent="0.45">
      <c r="A176" s="68" t="s">
        <v>164</v>
      </c>
      <c r="B176" s="57">
        <f>SUM(B12:B175)</f>
        <v>7977563.1600000011</v>
      </c>
      <c r="C176" s="57">
        <f>SUM(C12:C175)</f>
        <v>2363607.8300000005</v>
      </c>
      <c r="D176" s="57">
        <f>SUM(D12:D175)</f>
        <v>2517382.27</v>
      </c>
      <c r="E176" s="57">
        <f>SUM(E12:E175)</f>
        <v>2696693.689999999</v>
      </c>
      <c r="F176" s="40">
        <f>H176+I176</f>
        <v>15555246.959300002</v>
      </c>
      <c r="G176" s="39"/>
      <c r="H176" s="8">
        <f t="shared" ref="H176:R176" si="21">SUM(H2:H175)</f>
        <v>891672.84400000016</v>
      </c>
      <c r="I176" s="8">
        <f t="shared" si="21"/>
        <v>14663574.115300002</v>
      </c>
      <c r="J176" s="102">
        <f t="shared" si="21"/>
        <v>1217788.3246999995</v>
      </c>
      <c r="K176" s="102">
        <f t="shared" si="21"/>
        <v>1412957.02</v>
      </c>
      <c r="L176" s="102">
        <f t="shared" si="21"/>
        <v>3178427.1056000013</v>
      </c>
      <c r="M176" s="102">
        <f t="shared" si="21"/>
        <v>6698300.2749999985</v>
      </c>
      <c r="N176" s="102">
        <f t="shared" si="21"/>
        <v>14884.35</v>
      </c>
      <c r="O176" s="102">
        <f t="shared" si="21"/>
        <v>647000.04</v>
      </c>
      <c r="P176" s="102">
        <f t="shared" si="21"/>
        <v>1112249.8299999998</v>
      </c>
      <c r="Q176" s="102">
        <f t="shared" si="21"/>
        <v>210589.96999999997</v>
      </c>
      <c r="R176" s="103">
        <f t="shared" si="21"/>
        <v>171377.19999999998</v>
      </c>
    </row>
    <row r="177" spans="1:18" s="6" customFormat="1" ht="15" thickBot="1" x14ac:dyDescent="0.35">
      <c r="A177" s="5"/>
      <c r="B177" s="58">
        <f>B176/F176</f>
        <v>0.51285352015774088</v>
      </c>
      <c r="C177" s="58">
        <f>C176/F176</f>
        <v>0.15194923206197458</v>
      </c>
      <c r="D177" s="58">
        <f>D176/F176</f>
        <v>0.16183492789196349</v>
      </c>
      <c r="E177" s="58">
        <f>E176/F176</f>
        <v>0.17336231929045195</v>
      </c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5" thickBot="1" x14ac:dyDescent="0.35">
      <c r="B178" s="82" t="s">
        <v>146</v>
      </c>
      <c r="C178" s="83"/>
      <c r="D178" s="83"/>
      <c r="E178" s="84"/>
    </row>
  </sheetData>
  <mergeCells count="6">
    <mergeCell ref="A2:B2"/>
    <mergeCell ref="A3:B3"/>
    <mergeCell ref="A4:B4"/>
    <mergeCell ref="J9:R9"/>
    <mergeCell ref="B178:E178"/>
    <mergeCell ref="B8:E8"/>
  </mergeCells>
  <printOptions horizontalCentered="1"/>
  <pageMargins left="0.31496062992125984" right="0.31496062992125984" top="0.55118110236220474" bottom="0.55118110236220474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GLOBAL</vt:lpstr>
      <vt:lpstr>GLOBAL!Print_Titles</vt:lpstr>
    </vt:vector>
  </TitlesOfParts>
  <Company>IMI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Marin Piñero, Ferran</cp:lastModifiedBy>
  <cp:lastPrinted>2016-04-08T08:23:45Z</cp:lastPrinted>
  <dcterms:created xsi:type="dcterms:W3CDTF">2016-03-21T07:30:44Z</dcterms:created>
  <dcterms:modified xsi:type="dcterms:W3CDTF">2016-04-26T09:50:06Z</dcterms:modified>
</cp:coreProperties>
</file>